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2E104D-52FB-4A38-854D-CBE1B9018248}" xr6:coauthVersionLast="38" xr6:coauthVersionMax="38" xr10:uidLastSave="{00000000-0000-0000-0000-000000000000}"/>
  <bookViews>
    <workbookView xWindow="0" yWindow="0" windowWidth="18090" windowHeight="6075" firstSheet="2" activeTab="2" xr2:uid="{00000000-000D-0000-FFFF-FFFF00000000}"/>
  </bookViews>
  <sheets>
    <sheet name="הסדר אפריקה בן משה" sheetId="4" r:id="rId1"/>
    <sheet name="פאסו חוב לא מובטח" sheetId="5" r:id="rId2"/>
    <sheet name="Hayek" sheetId="13" r:id="rId3"/>
  </sheets>
  <calcPr calcId="162913"/>
</workbook>
</file>

<file path=xl/calcChain.xml><?xml version="1.0" encoding="utf-8"?>
<calcChain xmlns="http://schemas.openxmlformats.org/spreadsheetml/2006/main">
  <c r="B22" i="13" l="1"/>
  <c r="B21" i="13"/>
  <c r="D21" i="13"/>
  <c r="D22" i="13"/>
  <c r="C5" i="13" l="1"/>
  <c r="E5" i="13"/>
  <c r="G5" i="13"/>
  <c r="H5" i="13"/>
  <c r="C6" i="13"/>
  <c r="E6" i="13"/>
  <c r="G6" i="13"/>
  <c r="H6" i="13"/>
  <c r="D8" i="13"/>
  <c r="E8" i="13" s="1"/>
  <c r="F8" i="13"/>
  <c r="G8" i="13"/>
  <c r="H8" i="13"/>
  <c r="J10" i="13"/>
  <c r="C11" i="13"/>
  <c r="E11" i="13"/>
  <c r="G11" i="13"/>
  <c r="H11" i="13"/>
  <c r="D12" i="13"/>
  <c r="E12" i="13"/>
  <c r="F12" i="13"/>
  <c r="B12" i="13" s="1"/>
  <c r="G12" i="13"/>
  <c r="H12" i="13"/>
  <c r="H13" i="13"/>
  <c r="H14" i="13"/>
  <c r="S25" i="13"/>
  <c r="S27" i="13"/>
  <c r="S28" i="13"/>
  <c r="S29" i="13"/>
  <c r="S30" i="13"/>
  <c r="L32" i="13"/>
  <c r="L33" i="13"/>
  <c r="L34" i="13"/>
  <c r="N35" i="13" s="1"/>
  <c r="D7" i="13" s="1"/>
  <c r="M34" i="13"/>
  <c r="N34" i="13"/>
  <c r="O34" i="13"/>
  <c r="L35" i="13"/>
  <c r="M35" i="13"/>
  <c r="F7" i="13" s="1"/>
  <c r="P40" i="13"/>
  <c r="P41" i="13"/>
  <c r="M42" i="13"/>
  <c r="N42" i="13"/>
  <c r="O42" i="13"/>
  <c r="P42" i="13"/>
  <c r="M43" i="13" s="1"/>
  <c r="M44" i="13" s="1"/>
  <c r="B14" i="13" s="1"/>
  <c r="C14" i="13" s="1"/>
  <c r="B8" i="13" l="1"/>
  <c r="C8" i="13" s="1"/>
  <c r="B7" i="13"/>
  <c r="G7" i="13"/>
  <c r="G9" i="13" s="1"/>
  <c r="F22" i="13" s="1"/>
  <c r="F9" i="13"/>
  <c r="E9" i="13"/>
  <c r="E7" i="13"/>
  <c r="D9" i="13"/>
  <c r="C12" i="13"/>
  <c r="D13" i="13"/>
  <c r="O43" i="13"/>
  <c r="O44" i="13" s="1"/>
  <c r="F14" i="13" s="1"/>
  <c r="G14" i="13" s="1"/>
  <c r="N43" i="13"/>
  <c r="N44" i="13" s="1"/>
  <c r="D14" i="13" s="1"/>
  <c r="E14" i="13" s="1"/>
  <c r="O35" i="13"/>
  <c r="F13" i="13"/>
  <c r="C7" i="13" l="1"/>
  <c r="C9" i="13" s="1"/>
  <c r="B9" i="13"/>
  <c r="H9" i="13" s="1"/>
  <c r="J9" i="13"/>
  <c r="G13" i="13"/>
  <c r="G15" i="13" s="1"/>
  <c r="F15" i="13"/>
  <c r="E13" i="13"/>
  <c r="E15" i="13" s="1"/>
  <c r="E17" i="13" s="1"/>
  <c r="D15" i="13"/>
  <c r="D17" i="13" s="1"/>
  <c r="G17" i="13"/>
  <c r="F21" i="13" s="1"/>
  <c r="B13" i="13"/>
  <c r="C13" i="13" l="1"/>
  <c r="C15" i="13" s="1"/>
  <c r="C17" i="13" s="1"/>
  <c r="B15" i="13"/>
  <c r="F17" i="13"/>
  <c r="H15" i="13" l="1"/>
  <c r="B17" i="13"/>
  <c r="H17" i="13" l="1"/>
  <c r="J15" i="13"/>
  <c r="J17" i="13" s="1"/>
  <c r="C5" i="5" l="1"/>
  <c r="D5" i="5"/>
  <c r="E5" i="5"/>
  <c r="D27" i="5"/>
  <c r="E27" i="5" s="1"/>
  <c r="F27" i="5" s="1"/>
  <c r="E9" i="5"/>
  <c r="D9" i="5"/>
  <c r="C9" i="5"/>
  <c r="D8" i="5"/>
  <c r="C8" i="5"/>
  <c r="C29" i="5" s="1"/>
  <c r="C26" i="5" s="1"/>
  <c r="D6" i="5"/>
  <c r="C6" i="5"/>
  <c r="E8" i="5" l="1"/>
  <c r="C11" i="5"/>
  <c r="D29" i="5"/>
  <c r="D26" i="5" s="1"/>
  <c r="D11" i="5"/>
  <c r="C11" i="4"/>
  <c r="D11" i="4"/>
  <c r="E11" i="4"/>
  <c r="D16" i="5"/>
  <c r="F16" i="5" s="1"/>
  <c r="F15" i="5"/>
  <c r="F17" i="5" s="1"/>
  <c r="D14" i="5"/>
  <c r="E14" i="5" s="1"/>
  <c r="E17" i="5" s="1"/>
  <c r="E18" i="5" s="1"/>
  <c r="C14" i="5"/>
  <c r="C17" i="5" s="1"/>
  <c r="C18" i="5" s="1"/>
  <c r="F10" i="5"/>
  <c r="F7" i="5"/>
  <c r="F3" i="5"/>
  <c r="F10" i="4"/>
  <c r="D17" i="5" l="1"/>
  <c r="D18" i="5" s="1"/>
  <c r="E11" i="5"/>
  <c r="E29" i="5"/>
  <c r="F5" i="5"/>
  <c r="D12" i="5"/>
  <c r="D21" i="5" s="1"/>
  <c r="D24" i="5" s="1"/>
  <c r="C20" i="5"/>
  <c r="C12" i="5"/>
  <c r="C21" i="5" s="1"/>
  <c r="C24" i="5" s="1"/>
  <c r="F6" i="5"/>
  <c r="D16" i="4"/>
  <c r="F16" i="4" s="1"/>
  <c r="D14" i="4"/>
  <c r="C14" i="4"/>
  <c r="C17" i="4" s="1"/>
  <c r="C18" i="4" s="1"/>
  <c r="D9" i="4"/>
  <c r="C9" i="4"/>
  <c r="D8" i="4"/>
  <c r="C8" i="4"/>
  <c r="F15" i="4"/>
  <c r="F7" i="4"/>
  <c r="D6" i="4"/>
  <c r="C6" i="4"/>
  <c r="F5" i="4"/>
  <c r="E26" i="5" l="1"/>
  <c r="F26" i="5" s="1"/>
  <c r="F29" i="5"/>
  <c r="D20" i="5"/>
  <c r="C28" i="5"/>
  <c r="D28" i="5"/>
  <c r="E28" i="5"/>
  <c r="F11" i="5"/>
  <c r="F20" i="5" s="1"/>
  <c r="D17" i="4"/>
  <c r="D18" i="4" s="1"/>
  <c r="E8" i="4"/>
  <c r="F17" i="4"/>
  <c r="E14" i="4"/>
  <c r="E9" i="4"/>
  <c r="F6" i="4"/>
  <c r="E12" i="5" l="1"/>
  <c r="E21" i="5" s="1"/>
  <c r="E24" i="5" s="1"/>
  <c r="E20" i="5"/>
  <c r="D12" i="4"/>
  <c r="D20" i="4"/>
  <c r="C12" i="4"/>
  <c r="C20" i="4"/>
  <c r="F11" i="4"/>
  <c r="F20" i="4" s="1"/>
  <c r="E17" i="4"/>
  <c r="E18" i="4" s="1"/>
  <c r="F3" i="4"/>
  <c r="C21" i="4" l="1"/>
  <c r="C24" i="4" s="1"/>
  <c r="D21" i="4"/>
  <c r="D24" i="4" s="1"/>
  <c r="E12" i="4"/>
  <c r="E20" i="4"/>
  <c r="E21" i="4" l="1"/>
  <c r="E24" i="4" s="1"/>
</calcChain>
</file>

<file path=xl/sharedStrings.xml><?xml version="1.0" encoding="utf-8"?>
<sst xmlns="http://schemas.openxmlformats.org/spreadsheetml/2006/main" count="121" uniqueCount="71">
  <si>
    <t>סה"כ</t>
  </si>
  <si>
    <t>כח</t>
  </si>
  <si>
    <t>כז</t>
  </si>
  <si>
    <t>כו</t>
  </si>
  <si>
    <t>אגח דניה</t>
  </si>
  <si>
    <t>מזומן בקופה 250 + 125 מ' שח מהזרמה</t>
  </si>
  <si>
    <t>מזומן ממכירת אפריקה נכסים</t>
  </si>
  <si>
    <t>עסקת המפעיל - דור אלון</t>
  </si>
  <si>
    <t>נכסים סחירים</t>
  </si>
  <si>
    <t>תשלום מלבייב פטור מתביעות</t>
  </si>
  <si>
    <t>אגח מתוקנות 5.5 אחוז ריבית לפי פארי</t>
  </si>
  <si>
    <t>ערך לאגח</t>
  </si>
  <si>
    <t>נכסים לא סחירים</t>
  </si>
  <si>
    <t xml:space="preserve">מניות נכסים - אופציה ראשונה+ שניה </t>
  </si>
  <si>
    <t>אגח סדרה 2</t>
  </si>
  <si>
    <t>שוק</t>
  </si>
  <si>
    <t>ערך נקוב</t>
  </si>
  <si>
    <t>בן משה: חלופת אג"ח</t>
  </si>
  <si>
    <t xml:space="preserve">סה"כ ההסדר ערך נומינלי </t>
  </si>
  <si>
    <t>סה"כ ערך נומינלי לאגח באג'</t>
  </si>
  <si>
    <t>הערות</t>
  </si>
  <si>
    <t>מייצג חלופת אג"ח.לפיה בן משה התחייב לפרוע את האגח בתוך שנה</t>
  </si>
  <si>
    <t>בחלופת ריפייננס , בן משה לא פורע בפרעון מוקדם את האגח ומשלם עוד 20 מ' שח</t>
  </si>
  <si>
    <t>בחלופת מזומן במקום אגח , בן משה משלם 325 שח מזומן במקום האגח וכתוצאה מכך אגח דניה יורד ל-30 מ' שח</t>
  </si>
  <si>
    <t>מצגת בן משה</t>
  </si>
  <si>
    <t>נוסח הסדר בן משה</t>
  </si>
  <si>
    <t>הפרשי ריבית  משוער  cost of carry</t>
  </si>
  <si>
    <t>לא נלקחה בחשבון התחייבות קודמת של לבייב לרכישת אופ אפי בסך 18 מ' שח עקב חוסר בהירות</t>
  </si>
  <si>
    <t>אפסייד</t>
  </si>
  <si>
    <t>ראטה לחוב לא מובטח</t>
  </si>
  <si>
    <t>מקדם</t>
  </si>
  <si>
    <t>סכום מינימלי</t>
  </si>
  <si>
    <t>אחוז</t>
  </si>
  <si>
    <t>אופ 2</t>
  </si>
  <si>
    <t>אופ 1</t>
  </si>
  <si>
    <t>סהכ</t>
  </si>
  <si>
    <t xml:space="preserve">כח </t>
  </si>
  <si>
    <t>ז. חיזוק החברה בהכנסת נכס חיצוני בתוך שנתיים או פיצוי 20 מיליון שח</t>
  </si>
  <si>
    <t>ו. פדיון מוקדם אגח חדש תוך 30 חודש או תוספת 20 מיליון שח להסדר</t>
  </si>
  <si>
    <t>ה. התמורות הנדחות כביש 6 אופציות רבוע כחול ישאו ריבית</t>
  </si>
  <si>
    <t>ד. כל הנ"ל יקבע בפרה רולינג</t>
  </si>
  <si>
    <t>ג. תמורות נדחות המס בדרכ נדחה למועד התקבול בפועל</t>
  </si>
  <si>
    <t xml:space="preserve">ב. זה יכול להוביל להכנסות ריבית/הפסד הון שניתן לקזז אוטומטית דרך הברוקר </t>
  </si>
  <si>
    <t>א. בדר"כ מס הכנסה מחשיב את התמורות הראשונות בהסדר כתשלום עבור ריבית שנדחתה ולכן מנוכה מס במקור</t>
  </si>
  <si>
    <t>חלוקה אופ אפי פיתוח</t>
  </si>
  <si>
    <t>חלוקת אופציות אפי פיתוח לסדרות (לפי דיווח בורסה)</t>
  </si>
  <si>
    <t>לבייב</t>
  </si>
  <si>
    <t>סה"כ כולל</t>
  </si>
  <si>
    <t>מאיה</t>
  </si>
  <si>
    <t>סה"כ נדחה</t>
  </si>
  <si>
    <t>קרקע ברוסיה (התחייבות לבייב 20 מ' 3 שנים) לבייב</t>
  </si>
  <si>
    <t>אגח לא סחיר 1+2 ללא ריבית (2.5-3 שנים)</t>
  </si>
  <si>
    <t>כביש 6 (חצי שנה) (נושא ריבית)</t>
  </si>
  <si>
    <t>תמורות לא מיידיות</t>
  </si>
  <si>
    <t>סה"כ מיידי</t>
  </si>
  <si>
    <t>אגח כו'/כז חדש 5.5% ריבית</t>
  </si>
  <si>
    <t>מזומנים מלבייב תמורת אופציות אפי</t>
  </si>
  <si>
    <t>מזומן תמורת רבוע כחול</t>
  </si>
  <si>
    <t>מזומנים בקופה (רצפה 250)-הזרמה 90)</t>
  </si>
  <si>
    <t>לע.נ.</t>
  </si>
  <si>
    <t>אלפי ש"ח</t>
  </si>
  <si>
    <t>תמורות מיידיות</t>
  </si>
  <si>
    <t>נומינלי</t>
  </si>
  <si>
    <t>שער כלכלי</t>
  </si>
  <si>
    <t>כלכלי</t>
  </si>
  <si>
    <t xml:space="preserve">כו </t>
  </si>
  <si>
    <t>אפסייד מול ערך כולל</t>
  </si>
  <si>
    <t>אפסייד מול ערך מיידי (עד חצי שנה)</t>
  </si>
  <si>
    <t>אופציה ראשונה ושניה הרבוע הכחול</t>
  </si>
  <si>
    <t>נכסים אופציות ללא אפסייד מינימום  (1.5-3 שנים)</t>
  </si>
  <si>
    <t>מחיר שוק נוכחי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</si>
</sst>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#,##0.0_ ;\-#,##0.0\ "/>
    <numFmt numFmtId="166" formatCode="#,##0.00_ ;\-#,##0.00\ "/>
    <numFmt numFmtId="168" formatCode="0.0%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u val="singleAccounting"/>
      <sz val="12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2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/>
    <xf numFmtId="164" fontId="3" fillId="2" borderId="0" xfId="1" applyNumberFormat="1" applyFont="1" applyFill="1" applyBorder="1"/>
    <xf numFmtId="164" fontId="4" fillId="2" borderId="0" xfId="1" applyNumberFormat="1" applyFont="1" applyFill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0" fontId="0" fillId="0" borderId="0" xfId="0" applyFill="1"/>
    <xf numFmtId="164" fontId="4" fillId="0" borderId="0" xfId="1" applyNumberFormat="1" applyFont="1" applyFill="1"/>
    <xf numFmtId="0" fontId="5" fillId="0" borderId="0" xfId="3" applyFill="1" applyAlignment="1"/>
    <xf numFmtId="0" fontId="5" fillId="0" borderId="0" xfId="3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165" fontId="3" fillId="2" borderId="0" xfId="1" applyNumberFormat="1" applyFont="1" applyFill="1"/>
    <xf numFmtId="165" fontId="3" fillId="3" borderId="0" xfId="1" applyNumberFormat="1" applyFont="1" applyFill="1"/>
    <xf numFmtId="9" fontId="0" fillId="3" borderId="0" xfId="2" applyFont="1" applyFill="1"/>
    <xf numFmtId="164" fontId="0" fillId="4" borderId="0" xfId="1" applyNumberFormat="1" applyFont="1" applyFill="1"/>
    <xf numFmtId="166" fontId="0" fillId="0" borderId="0" xfId="1" applyNumberFormat="1" applyFont="1"/>
    <xf numFmtId="168" fontId="0" fillId="0" borderId="0" xfId="2" applyNumberFormat="1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0" fillId="5" borderId="5" xfId="0" applyFill="1" applyBorder="1"/>
    <xf numFmtId="0" fontId="0" fillId="5" borderId="0" xfId="0" applyFill="1"/>
    <xf numFmtId="9" fontId="0" fillId="0" borderId="0" xfId="2" applyFont="1"/>
    <xf numFmtId="0" fontId="0" fillId="0" borderId="2" xfId="0" applyBorder="1"/>
    <xf numFmtId="1" fontId="0" fillId="0" borderId="0" xfId="0" applyNumberFormat="1"/>
    <xf numFmtId="164" fontId="0" fillId="5" borderId="0" xfId="1" applyNumberFormat="1" applyFont="1" applyFill="1"/>
    <xf numFmtId="0" fontId="7" fillId="5" borderId="0" xfId="0" applyFont="1" applyFill="1"/>
    <xf numFmtId="0" fontId="5" fillId="0" borderId="0" xfId="3"/>
    <xf numFmtId="164" fontId="0" fillId="5" borderId="4" xfId="1" applyNumberFormat="1" applyFont="1" applyFill="1" applyBorder="1"/>
    <xf numFmtId="0" fontId="0" fillId="5" borderId="1" xfId="0" applyFill="1" applyBorder="1"/>
    <xf numFmtId="164" fontId="0" fillId="5" borderId="6" xfId="0" applyNumberFormat="1" applyFill="1" applyBorder="1"/>
    <xf numFmtId="164" fontId="0" fillId="5" borderId="3" xfId="1" applyNumberFormat="1" applyFont="1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4" xfId="0" applyNumberFormat="1" applyFill="1" applyBorder="1"/>
    <xf numFmtId="0" fontId="0" fillId="5" borderId="3" xfId="0" applyFill="1" applyBorder="1"/>
    <xf numFmtId="164" fontId="0" fillId="5" borderId="5" xfId="0" applyNumberFormat="1" applyFill="1" applyBorder="1"/>
    <xf numFmtId="0" fontId="0" fillId="5" borderId="9" xfId="0" applyFill="1" applyBorder="1"/>
    <xf numFmtId="164" fontId="0" fillId="5" borderId="8" xfId="0" applyNumberFormat="1" applyFill="1" applyBorder="1"/>
    <xf numFmtId="0" fontId="8" fillId="5" borderId="0" xfId="0" applyFont="1" applyFill="1" applyBorder="1"/>
    <xf numFmtId="0" fontId="0" fillId="5" borderId="4" xfId="0" applyFill="1" applyBorder="1"/>
    <xf numFmtId="0" fontId="8" fillId="5" borderId="0" xfId="0" applyFont="1" applyFill="1"/>
    <xf numFmtId="164" fontId="9" fillId="5" borderId="4" xfId="1" applyNumberFormat="1" applyFont="1" applyFill="1" applyBorder="1"/>
    <xf numFmtId="164" fontId="10" fillId="5" borderId="3" xfId="1" applyNumberFormat="1" applyFont="1" applyFill="1" applyBorder="1"/>
    <xf numFmtId="164" fontId="10" fillId="5" borderId="4" xfId="1" applyNumberFormat="1" applyFont="1" applyFill="1" applyBorder="1"/>
    <xf numFmtId="164" fontId="10" fillId="5" borderId="4" xfId="1" applyNumberFormat="1" applyFont="1" applyFill="1" applyBorder="1" applyAlignment="1"/>
    <xf numFmtId="164" fontId="10" fillId="5" borderId="3" xfId="1" applyNumberFormat="1" applyFont="1" applyFill="1" applyBorder="1" applyAlignment="1"/>
    <xf numFmtId="0" fontId="6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9" fontId="0" fillId="5" borderId="0" xfId="0" applyNumberFormat="1" applyFill="1"/>
    <xf numFmtId="164" fontId="0" fillId="5" borderId="11" xfId="1" applyNumberFormat="1" applyFont="1" applyFill="1" applyBorder="1"/>
    <xf numFmtId="9" fontId="0" fillId="5" borderId="8" xfId="0" applyNumberFormat="1" applyFill="1" applyBorder="1"/>
    <xf numFmtId="165" fontId="0" fillId="5" borderId="8" xfId="1" applyNumberFormat="1" applyFont="1" applyFill="1" applyBorder="1"/>
    <xf numFmtId="0" fontId="0" fillId="5" borderId="12" xfId="0" applyFill="1" applyBorder="1"/>
    <xf numFmtId="0" fontId="0" fillId="5" borderId="10" xfId="0" applyFill="1" applyBorder="1"/>
    <xf numFmtId="164" fontId="3" fillId="0" borderId="0" xfId="1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17</xdr:col>
      <xdr:colOff>551652</xdr:colOff>
      <xdr:row>27</xdr:row>
      <xdr:rowOff>18375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6771548" y="0"/>
          <a:ext cx="6380952" cy="54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0</xdr:rowOff>
    </xdr:from>
    <xdr:to>
      <xdr:col>17</xdr:col>
      <xdr:colOff>551652</xdr:colOff>
      <xdr:row>27</xdr:row>
      <xdr:rowOff>18375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59CA69-8C10-4241-AE6D-23433A687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32623" y="0"/>
          <a:ext cx="7238202" cy="5276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23514</xdr:colOff>
      <xdr:row>0</xdr:row>
      <xdr:rowOff>87314</xdr:rowOff>
    </xdr:from>
    <xdr:ext cx="8595424" cy="2693978"/>
    <xdr:pic>
      <xdr:nvPicPr>
        <xdr:cNvPr id="2" name="Picture 1">
          <a:extLst>
            <a:ext uri="{FF2B5EF4-FFF2-40B4-BE49-F238E27FC236}">
              <a16:creationId xmlns:a16="http://schemas.microsoft.com/office/drawing/2014/main" id="{A809B151-A4F2-4789-A1DC-4A6E4A6FD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670262" y="87314"/>
          <a:ext cx="8595424" cy="2693978"/>
        </a:xfrm>
        <a:prstGeom prst="rect">
          <a:avLst/>
        </a:prstGeom>
      </xdr:spPr>
    </xdr:pic>
    <xdr:clientData/>
  </xdr:oneCellAnchor>
  <xdr:oneCellAnchor>
    <xdr:from>
      <xdr:col>10</xdr:col>
      <xdr:colOff>88033</xdr:colOff>
      <xdr:row>19</xdr:row>
      <xdr:rowOff>62779</xdr:rowOff>
    </xdr:from>
    <xdr:ext cx="6843137" cy="1817380"/>
    <xdr:pic>
      <xdr:nvPicPr>
        <xdr:cNvPr id="3" name="Picture 2">
          <a:extLst>
            <a:ext uri="{FF2B5EF4-FFF2-40B4-BE49-F238E27FC236}">
              <a16:creationId xmlns:a16="http://schemas.microsoft.com/office/drawing/2014/main" id="{FD0EC2B4-F426-4C07-9C26-A13AECB59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358030" y="3501304"/>
          <a:ext cx="6843137" cy="18173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yafiles.tase.co.il/rpdf/1137001-1138000/P1137986-00.pdf" TargetMode="External"/><Relationship Id="rId1" Type="http://schemas.openxmlformats.org/officeDocument/2006/relationships/hyperlink" Target="http://mayafiles.tase.co.il/rpdf/1137001-1138000/P1137829-00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ayafiles.tase.co.il/rpdf/1137001-1138000/P1137986-00.pdf" TargetMode="External"/><Relationship Id="rId1" Type="http://schemas.openxmlformats.org/officeDocument/2006/relationships/hyperlink" Target="http://mayafiles.tase.co.il/rpdf/1137001-1138000/P1137829-0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ayafiles.tase.co.il/rpdf/1130001-1131000/P1130912-00.pdf" TargetMode="External"/><Relationship Id="rId2" Type="http://schemas.openxmlformats.org/officeDocument/2006/relationships/hyperlink" Target="http://www.africa-israel.co.il/userfiles/File/investor%20relations/2016/%D7%94%D7%A7%D7%A6%D7%90%D7%AA%20%D7%9B%D7%AA%D7%91%D7%99%20%D7%90%D7%95%D7%A4%D7%A6%D7%99%D7%95%D7%AA%20-%2020.9.16.pdf" TargetMode="External"/><Relationship Id="rId1" Type="http://schemas.openxmlformats.org/officeDocument/2006/relationships/hyperlink" Target="https://mayafiles.tase.co.il/rpdf/1178001-1179000/P1178761-00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4"/>
  <sheetViews>
    <sheetView rightToLeft="1" zoomScaleNormal="100" workbookViewId="0">
      <selection activeCell="C5" sqref="C5:E11"/>
    </sheetView>
  </sheetViews>
  <sheetFormatPr defaultColWidth="9.125" defaultRowHeight="14.25" x14ac:dyDescent="0.2"/>
  <cols>
    <col min="1" max="1" width="2.875" style="1" bestFit="1" customWidth="1"/>
    <col min="2" max="2" width="42.25" style="1" customWidth="1"/>
    <col min="3" max="4" width="18.375" style="1" bestFit="1" customWidth="1"/>
    <col min="5" max="5" width="16.625" style="1" bestFit="1" customWidth="1"/>
    <col min="6" max="6" width="18.375" style="1" bestFit="1" customWidth="1"/>
    <col min="7" max="16384" width="9.125" style="1"/>
  </cols>
  <sheetData>
    <row r="1" spans="1:7" ht="15.75" x14ac:dyDescent="0.25">
      <c r="A1" s="2"/>
      <c r="B1" s="3" t="s">
        <v>17</v>
      </c>
      <c r="C1" s="4"/>
      <c r="D1" s="4"/>
      <c r="E1" s="5"/>
      <c r="F1" s="5"/>
    </row>
    <row r="2" spans="1:7" ht="15" x14ac:dyDescent="0.2">
      <c r="A2" s="2"/>
      <c r="B2" s="4"/>
      <c r="C2" s="7" t="s">
        <v>3</v>
      </c>
      <c r="D2" s="7" t="s">
        <v>2</v>
      </c>
      <c r="E2" s="7" t="s">
        <v>1</v>
      </c>
      <c r="F2" s="7" t="s">
        <v>0</v>
      </c>
    </row>
    <row r="3" spans="1:7" ht="15" x14ac:dyDescent="0.2">
      <c r="A3" s="2"/>
      <c r="B3" s="4" t="s">
        <v>16</v>
      </c>
      <c r="C3" s="4">
        <v>1311012840</v>
      </c>
      <c r="D3" s="4">
        <v>1014675509</v>
      </c>
      <c r="E3" s="5">
        <v>331034382</v>
      </c>
      <c r="F3" s="5">
        <f>C3+D3+E3</f>
        <v>2656722731</v>
      </c>
    </row>
    <row r="4" spans="1:7" ht="20.25" x14ac:dyDescent="0.55000000000000004">
      <c r="A4" s="2"/>
      <c r="B4" s="6" t="s">
        <v>8</v>
      </c>
      <c r="C4" s="5"/>
      <c r="D4" s="5"/>
      <c r="E4" s="5"/>
      <c r="F4" s="5"/>
    </row>
    <row r="5" spans="1:7" ht="15" x14ac:dyDescent="0.2">
      <c r="A5" s="2"/>
      <c r="B5" s="4" t="s">
        <v>5</v>
      </c>
      <c r="C5" s="4">
        <v>171504</v>
      </c>
      <c r="D5" s="4">
        <v>123808</v>
      </c>
      <c r="E5" s="4">
        <v>79688</v>
      </c>
      <c r="F5" s="5">
        <f>C5+D5+E5</f>
        <v>375000</v>
      </c>
    </row>
    <row r="6" spans="1:7" ht="15" x14ac:dyDescent="0.2">
      <c r="A6" s="2"/>
      <c r="B6" s="4" t="s">
        <v>6</v>
      </c>
      <c r="C6" s="4">
        <f>671855+51496</f>
        <v>723351</v>
      </c>
      <c r="D6" s="4">
        <f>484752+37446</f>
        <v>522198</v>
      </c>
      <c r="E6" s="4">
        <v>24451</v>
      </c>
      <c r="F6" s="5">
        <f>C6+D6+E6</f>
        <v>1270000</v>
      </c>
    </row>
    <row r="7" spans="1:7" ht="15" x14ac:dyDescent="0.2">
      <c r="A7" s="2"/>
      <c r="B7" s="4" t="s">
        <v>7</v>
      </c>
      <c r="C7" s="4">
        <v>74932</v>
      </c>
      <c r="D7" s="4">
        <v>54491</v>
      </c>
      <c r="E7" s="5">
        <v>35577</v>
      </c>
      <c r="F7" s="5">
        <f>C7+D7+E7</f>
        <v>165000</v>
      </c>
    </row>
    <row r="8" spans="1:7" ht="15" x14ac:dyDescent="0.2">
      <c r="A8" s="2"/>
      <c r="B8" s="4" t="s">
        <v>26</v>
      </c>
      <c r="C8" s="4">
        <f>F8*45%</f>
        <v>10125</v>
      </c>
      <c r="D8" s="4">
        <f>F8*33%</f>
        <v>7425</v>
      </c>
      <c r="E8" s="4">
        <f>F8-D8-C8</f>
        <v>4950</v>
      </c>
      <c r="F8" s="5">
        <v>22500</v>
      </c>
    </row>
    <row r="9" spans="1:7" ht="15" x14ac:dyDescent="0.2">
      <c r="A9" s="2"/>
      <c r="B9" s="4" t="s">
        <v>9</v>
      </c>
      <c r="C9" s="4">
        <f>F9*45%</f>
        <v>11250</v>
      </c>
      <c r="D9" s="4">
        <f>F9*33%</f>
        <v>8250</v>
      </c>
      <c r="E9" s="4">
        <f>F9-D9-C9</f>
        <v>5500</v>
      </c>
      <c r="F9" s="5">
        <v>25000</v>
      </c>
    </row>
    <row r="10" spans="1:7" ht="15" x14ac:dyDescent="0.2">
      <c r="A10" s="2"/>
      <c r="B10" s="4" t="s">
        <v>10</v>
      </c>
      <c r="C10" s="1">
        <v>148866</v>
      </c>
      <c r="D10" s="1">
        <v>107435</v>
      </c>
      <c r="E10" s="1">
        <v>68699</v>
      </c>
      <c r="F10" s="5">
        <f>C10+D10+E10</f>
        <v>325000</v>
      </c>
      <c r="G10" s="1">
        <v>325</v>
      </c>
    </row>
    <row r="11" spans="1:7" ht="15" x14ac:dyDescent="0.2">
      <c r="A11" s="2"/>
      <c r="B11" s="4" t="s">
        <v>0</v>
      </c>
      <c r="C11" s="8">
        <f>SUM(C5:C10)</f>
        <v>1140028</v>
      </c>
      <c r="D11" s="8">
        <f>SUM(D5:D10)</f>
        <v>823607</v>
      </c>
      <c r="E11" s="8">
        <f>SUM(E5:E10)</f>
        <v>218865</v>
      </c>
      <c r="F11" s="8">
        <f>SUM(F5:F10)</f>
        <v>2182500</v>
      </c>
    </row>
    <row r="12" spans="1:7" ht="15" x14ac:dyDescent="0.2">
      <c r="A12" s="2"/>
      <c r="B12" s="4" t="s">
        <v>11</v>
      </c>
      <c r="C12" s="16">
        <f>C11*1000/C$3*100</f>
        <v>86.957805844220417</v>
      </c>
      <c r="D12" s="16">
        <f>D11*1000/D$3*100</f>
        <v>81.169496326140262</v>
      </c>
      <c r="E12" s="16">
        <f>E11*1000/E$3*100</f>
        <v>66.115488873901924</v>
      </c>
      <c r="F12" s="5"/>
    </row>
    <row r="13" spans="1:7" ht="20.25" x14ac:dyDescent="0.55000000000000004">
      <c r="A13" s="2"/>
      <c r="B13" s="6" t="s">
        <v>12</v>
      </c>
      <c r="C13" s="4"/>
      <c r="D13" s="4"/>
      <c r="E13" s="4"/>
      <c r="F13" s="5"/>
    </row>
    <row r="14" spans="1:7" ht="15" x14ac:dyDescent="0.2">
      <c r="A14" s="2"/>
      <c r="B14" s="4" t="s">
        <v>13</v>
      </c>
      <c r="C14" s="4">
        <f>130000*568464/997291</f>
        <v>74101.059770919426</v>
      </c>
      <c r="D14" s="4">
        <f>130000*410000/997291</f>
        <v>53444.781914205581</v>
      </c>
      <c r="E14" s="5">
        <f>F14-D14-C14</f>
        <v>2454.1583148749924</v>
      </c>
      <c r="F14" s="5">
        <v>130000</v>
      </c>
    </row>
    <row r="15" spans="1:7" ht="15" x14ac:dyDescent="0.2">
      <c r="A15" s="2"/>
      <c r="B15" s="4" t="s">
        <v>4</v>
      </c>
      <c r="C15" s="4">
        <v>22660</v>
      </c>
      <c r="D15" s="4">
        <v>16479</v>
      </c>
      <c r="E15" s="5">
        <v>10861</v>
      </c>
      <c r="F15" s="5">
        <f>C15+D15+E15</f>
        <v>50000</v>
      </c>
    </row>
    <row r="16" spans="1:7" ht="15" x14ac:dyDescent="0.2">
      <c r="A16" s="2"/>
      <c r="B16" s="4" t="s">
        <v>14</v>
      </c>
      <c r="C16" s="4">
        <v>18188</v>
      </c>
      <c r="D16" s="4">
        <f>13123-1</f>
        <v>13122</v>
      </c>
      <c r="E16" s="4">
        <v>8690</v>
      </c>
      <c r="F16" s="5">
        <f>C16+D16+E16</f>
        <v>40000</v>
      </c>
    </row>
    <row r="17" spans="1:13" ht="15" x14ac:dyDescent="0.2">
      <c r="A17" s="2"/>
      <c r="B17" s="4" t="s">
        <v>0</v>
      </c>
      <c r="C17" s="8">
        <f>SUM(C14:C16)</f>
        <v>114949.05977091943</v>
      </c>
      <c r="D17" s="8">
        <f>SUM(D14:D16)</f>
        <v>83045.781914205581</v>
      </c>
      <c r="E17" s="8">
        <f>SUM(E14:E16)</f>
        <v>22005.158314874992</v>
      </c>
      <c r="F17" s="8">
        <f>SUM(F14:F16)</f>
        <v>220000</v>
      </c>
    </row>
    <row r="18" spans="1:13" ht="15" x14ac:dyDescent="0.2">
      <c r="A18" s="2"/>
      <c r="B18" s="4" t="s">
        <v>11</v>
      </c>
      <c r="C18" s="2">
        <f>C17*1000/C$3*100</f>
        <v>8.7679583497381621</v>
      </c>
      <c r="D18" s="2">
        <f>D17*1000/D$3*100</f>
        <v>8.1844669727024595</v>
      </c>
      <c r="E18" s="2">
        <f>E17*1000/E$3*100</f>
        <v>6.6473935975855794</v>
      </c>
      <c r="F18" s="5"/>
    </row>
    <row r="19" spans="1:13" ht="15" x14ac:dyDescent="0.2">
      <c r="A19" s="2"/>
      <c r="B19" s="4"/>
      <c r="C19" s="2"/>
      <c r="D19" s="2"/>
      <c r="E19" s="2"/>
      <c r="F19" s="5"/>
    </row>
    <row r="20" spans="1:13" ht="15" x14ac:dyDescent="0.2">
      <c r="A20" s="2"/>
      <c r="B20" s="4" t="s">
        <v>18</v>
      </c>
      <c r="C20" s="2">
        <f>C11+C17</f>
        <v>1254977.0597709194</v>
      </c>
      <c r="D20" s="2">
        <f>D11+D17</f>
        <v>906652.78191420552</v>
      </c>
      <c r="E20" s="2">
        <f>E11+E17</f>
        <v>240870.15831487498</v>
      </c>
      <c r="F20" s="2">
        <f>F11+F17</f>
        <v>2402500</v>
      </c>
    </row>
    <row r="21" spans="1:13" ht="15" x14ac:dyDescent="0.2">
      <c r="A21" s="2"/>
      <c r="B21" s="4" t="s">
        <v>19</v>
      </c>
      <c r="C21" s="18">
        <f>C12+C18</f>
        <v>95.725764193958582</v>
      </c>
      <c r="D21" s="18">
        <f>D12+D18</f>
        <v>89.353963298842729</v>
      </c>
      <c r="E21" s="18">
        <f>E12+E18</f>
        <v>72.762882471487501</v>
      </c>
      <c r="F21" s="5"/>
    </row>
    <row r="22" spans="1:13" ht="15" x14ac:dyDescent="0.2">
      <c r="A22" s="2"/>
      <c r="B22" s="4" t="s">
        <v>15</v>
      </c>
      <c r="C22" s="15">
        <v>83</v>
      </c>
      <c r="D22" s="15">
        <v>77</v>
      </c>
      <c r="E22" s="15">
        <v>61</v>
      </c>
      <c r="F22" s="5"/>
    </row>
    <row r="23" spans="1:13" ht="15" x14ac:dyDescent="0.2">
      <c r="A23" s="2"/>
      <c r="B23" s="4"/>
      <c r="C23" s="15"/>
      <c r="D23" s="15"/>
      <c r="E23" s="15"/>
      <c r="F23" s="5"/>
    </row>
    <row r="24" spans="1:13" ht="15" x14ac:dyDescent="0.2">
      <c r="A24" s="2"/>
      <c r="B24" s="4" t="s">
        <v>28</v>
      </c>
      <c r="C24" s="17">
        <f>C21/C22-1</f>
        <v>0.15332246016817574</v>
      </c>
      <c r="D24" s="17">
        <f>D21/D22-1</f>
        <v>0.16044108180315231</v>
      </c>
      <c r="E24" s="17">
        <f>E21/E22-1</f>
        <v>0.1928341388768442</v>
      </c>
      <c r="F24" s="5"/>
    </row>
    <row r="25" spans="1:13" x14ac:dyDescent="0.2">
      <c r="A25"/>
    </row>
    <row r="26" spans="1:13" x14ac:dyDescent="0.2">
      <c r="A26"/>
      <c r="M26"/>
    </row>
    <row r="27" spans="1:13" x14ac:dyDescent="0.2">
      <c r="A27"/>
      <c r="M27"/>
    </row>
    <row r="28" spans="1:13" x14ac:dyDescent="0.2">
      <c r="A28"/>
      <c r="B28"/>
      <c r="C28"/>
      <c r="D28"/>
      <c r="E28"/>
      <c r="F28"/>
      <c r="M28"/>
    </row>
    <row r="29" spans="1:13" ht="20.25" x14ac:dyDescent="0.55000000000000004">
      <c r="A29"/>
      <c r="B29" s="10" t="s">
        <v>20</v>
      </c>
      <c r="C29" s="9"/>
      <c r="D29" s="9"/>
      <c r="E29" s="9"/>
      <c r="F29" s="9"/>
      <c r="M29"/>
    </row>
    <row r="30" spans="1:13" ht="15" x14ac:dyDescent="0.2">
      <c r="A30"/>
      <c r="B30" s="63" t="s">
        <v>21</v>
      </c>
      <c r="C30" s="63"/>
      <c r="D30" s="63"/>
      <c r="E30" s="63"/>
      <c r="F30" s="63"/>
      <c r="H30" s="1">
        <v>148866</v>
      </c>
      <c r="I30" s="1">
        <v>107435</v>
      </c>
      <c r="J30" s="1">
        <v>68699</v>
      </c>
      <c r="K30" s="1">
        <v>325000</v>
      </c>
    </row>
    <row r="31" spans="1:13" x14ac:dyDescent="0.2">
      <c r="A31"/>
      <c r="B31" s="13" t="s">
        <v>22</v>
      </c>
      <c r="C31" s="13"/>
      <c r="D31" s="13"/>
      <c r="E31" s="13"/>
      <c r="F31" s="13"/>
    </row>
    <row r="32" spans="1:13" x14ac:dyDescent="0.2">
      <c r="A32"/>
      <c r="B32" s="9" t="s">
        <v>23</v>
      </c>
      <c r="C32" s="9"/>
      <c r="D32" s="9"/>
      <c r="E32" s="9"/>
      <c r="F32" s="9"/>
    </row>
    <row r="33" spans="1:6" x14ac:dyDescent="0.2">
      <c r="A33"/>
      <c r="B33" s="9" t="s">
        <v>27</v>
      </c>
      <c r="C33" s="9"/>
      <c r="D33" s="9"/>
      <c r="E33" s="9"/>
      <c r="F33" s="9"/>
    </row>
    <row r="34" spans="1:6" x14ac:dyDescent="0.2">
      <c r="A34"/>
      <c r="B34" s="9"/>
      <c r="C34" s="9"/>
      <c r="D34" s="9"/>
      <c r="E34" s="9"/>
      <c r="F34" s="9"/>
    </row>
    <row r="35" spans="1:6" x14ac:dyDescent="0.2">
      <c r="A35"/>
      <c r="B35" s="11" t="s">
        <v>24</v>
      </c>
      <c r="C35" s="11"/>
      <c r="D35" s="11"/>
      <c r="E35" s="9"/>
      <c r="F35" s="9"/>
    </row>
    <row r="36" spans="1:6" x14ac:dyDescent="0.2">
      <c r="A36"/>
      <c r="B36" s="12" t="s">
        <v>25</v>
      </c>
      <c r="C36"/>
      <c r="D36"/>
      <c r="E36"/>
      <c r="F36"/>
    </row>
    <row r="37" spans="1:6" x14ac:dyDescent="0.2">
      <c r="A37"/>
      <c r="B37" s="14"/>
      <c r="C37" s="14"/>
      <c r="D37" s="14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B60"/>
      <c r="C60"/>
      <c r="D60"/>
      <c r="E60"/>
      <c r="F60"/>
    </row>
    <row r="61" spans="1:6" x14ac:dyDescent="0.2">
      <c r="B61"/>
      <c r="C61"/>
      <c r="D61"/>
      <c r="E61"/>
      <c r="F61"/>
    </row>
    <row r="62" spans="1:6" x14ac:dyDescent="0.2">
      <c r="B62"/>
      <c r="C62"/>
      <c r="D62"/>
      <c r="E62"/>
      <c r="F62"/>
    </row>
    <row r="63" spans="1:6" x14ac:dyDescent="0.2">
      <c r="B63"/>
      <c r="C63"/>
      <c r="D63"/>
      <c r="E63"/>
      <c r="F63"/>
    </row>
    <row r="64" spans="1:6" x14ac:dyDescent="0.2">
      <c r="B64"/>
      <c r="C64"/>
      <c r="D64"/>
      <c r="E64"/>
      <c r="F64"/>
    </row>
    <row r="65" spans="2:6" x14ac:dyDescent="0.2">
      <c r="B65"/>
      <c r="C65"/>
      <c r="D65"/>
      <c r="E65"/>
      <c r="F65"/>
    </row>
    <row r="66" spans="2:6" x14ac:dyDescent="0.2">
      <c r="B66"/>
      <c r="C66"/>
      <c r="D66"/>
      <c r="E66"/>
      <c r="F66"/>
    </row>
    <row r="67" spans="2:6" x14ac:dyDescent="0.2">
      <c r="B67"/>
      <c r="C67"/>
      <c r="D67"/>
      <c r="E67"/>
      <c r="F67"/>
    </row>
    <row r="68" spans="2:6" x14ac:dyDescent="0.2">
      <c r="B68"/>
      <c r="C68"/>
      <c r="D68"/>
      <c r="E68"/>
      <c r="F68"/>
    </row>
    <row r="69" spans="2:6" x14ac:dyDescent="0.2">
      <c r="B69"/>
      <c r="C69"/>
      <c r="D69"/>
      <c r="E69"/>
      <c r="F69"/>
    </row>
    <row r="70" spans="2:6" x14ac:dyDescent="0.2">
      <c r="B70"/>
      <c r="C70"/>
      <c r="D70"/>
      <c r="E70"/>
      <c r="F70"/>
    </row>
    <row r="71" spans="2:6" x14ac:dyDescent="0.2">
      <c r="B71"/>
      <c r="C71"/>
      <c r="D71"/>
      <c r="E71"/>
      <c r="F71"/>
    </row>
    <row r="72" spans="2:6" x14ac:dyDescent="0.2">
      <c r="B72"/>
      <c r="C72"/>
      <c r="D72"/>
      <c r="E72"/>
      <c r="F72"/>
    </row>
    <row r="73" spans="2:6" x14ac:dyDescent="0.2">
      <c r="B73"/>
      <c r="C73"/>
      <c r="D73"/>
      <c r="E73"/>
      <c r="F73"/>
    </row>
    <row r="74" spans="2:6" x14ac:dyDescent="0.2">
      <c r="B74"/>
      <c r="C74"/>
      <c r="D74"/>
      <c r="E74"/>
    </row>
  </sheetData>
  <mergeCells count="1">
    <mergeCell ref="B30:F30"/>
  </mergeCells>
  <hyperlinks>
    <hyperlink ref="B35:D35" r:id="rId1" display="הצעת הסדר בן משה" xr:uid="{00000000-0004-0000-0000-000000000000}"/>
    <hyperlink ref="B36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rightToLeft="1" zoomScaleNormal="100" workbookViewId="0">
      <selection activeCell="F10" sqref="F10"/>
    </sheetView>
  </sheetViews>
  <sheetFormatPr defaultColWidth="9.125" defaultRowHeight="14.25" x14ac:dyDescent="0.2"/>
  <cols>
    <col min="1" max="1" width="2.875" style="1" bestFit="1" customWidth="1"/>
    <col min="2" max="2" width="42.25" style="1" customWidth="1"/>
    <col min="3" max="4" width="18.375" style="1" bestFit="1" customWidth="1"/>
    <col min="5" max="5" width="16.625" style="1" bestFit="1" customWidth="1"/>
    <col min="6" max="6" width="18.375" style="1" bestFit="1" customWidth="1"/>
    <col min="7" max="16384" width="9.125" style="1"/>
  </cols>
  <sheetData>
    <row r="1" spans="1:7" ht="15.75" x14ac:dyDescent="0.25">
      <c r="A1" s="2"/>
      <c r="B1" s="3" t="s">
        <v>17</v>
      </c>
      <c r="C1" s="4"/>
      <c r="D1" s="4"/>
      <c r="E1" s="5"/>
      <c r="F1" s="5"/>
    </row>
    <row r="2" spans="1:7" ht="15" x14ac:dyDescent="0.2">
      <c r="A2" s="2"/>
      <c r="B2" s="4"/>
      <c r="C2" s="7" t="s">
        <v>3</v>
      </c>
      <c r="D2" s="7" t="s">
        <v>2</v>
      </c>
      <c r="E2" s="7" t="s">
        <v>1</v>
      </c>
      <c r="F2" s="7" t="s">
        <v>0</v>
      </c>
    </row>
    <row r="3" spans="1:7" ht="15" x14ac:dyDescent="0.2">
      <c r="A3" s="2"/>
      <c r="B3" s="4" t="s">
        <v>16</v>
      </c>
      <c r="C3" s="4">
        <v>1311012840</v>
      </c>
      <c r="D3" s="4">
        <v>1014675509</v>
      </c>
      <c r="E3" s="5">
        <v>331034382</v>
      </c>
      <c r="F3" s="5">
        <f>C3+D3+E3</f>
        <v>2656722731</v>
      </c>
    </row>
    <row r="4" spans="1:7" ht="20.25" x14ac:dyDescent="0.55000000000000004">
      <c r="A4" s="2"/>
      <c r="B4" s="6" t="s">
        <v>8</v>
      </c>
      <c r="C4" s="5"/>
      <c r="D4" s="5"/>
      <c r="E4" s="5"/>
      <c r="F4" s="5"/>
    </row>
    <row r="5" spans="1:7" ht="15" x14ac:dyDescent="0.2">
      <c r="A5" s="2"/>
      <c r="B5" s="4" t="s">
        <v>5</v>
      </c>
      <c r="C5" s="4">
        <f>171504-C32</f>
        <v>117941.79999999999</v>
      </c>
      <c r="D5" s="4">
        <f>123808-D32</f>
        <v>85013.2</v>
      </c>
      <c r="E5" s="4">
        <f>79688-E32</f>
        <v>54545</v>
      </c>
      <c r="F5" s="5">
        <f>C5+D5+E5</f>
        <v>257500</v>
      </c>
    </row>
    <row r="6" spans="1:7" ht="15" x14ac:dyDescent="0.2">
      <c r="A6" s="2"/>
      <c r="B6" s="4" t="s">
        <v>6</v>
      </c>
      <c r="C6" s="4">
        <f>671855+51496</f>
        <v>723351</v>
      </c>
      <c r="D6" s="4">
        <f>484752+37446</f>
        <v>522198</v>
      </c>
      <c r="E6" s="4">
        <v>24451</v>
      </c>
      <c r="F6" s="5">
        <f>C6+D6+E6</f>
        <v>1270000</v>
      </c>
    </row>
    <row r="7" spans="1:7" ht="15" x14ac:dyDescent="0.2">
      <c r="A7" s="2"/>
      <c r="B7" s="4" t="s">
        <v>7</v>
      </c>
      <c r="C7" s="4">
        <v>74932</v>
      </c>
      <c r="D7" s="4">
        <v>54491</v>
      </c>
      <c r="E7" s="5">
        <v>35577</v>
      </c>
      <c r="F7" s="5">
        <f>C7+D7+E7</f>
        <v>165000</v>
      </c>
    </row>
    <row r="8" spans="1:7" ht="15" x14ac:dyDescent="0.2">
      <c r="A8" s="2"/>
      <c r="B8" s="4" t="s">
        <v>26</v>
      </c>
      <c r="C8" s="4">
        <f>F8*45%</f>
        <v>10125</v>
      </c>
      <c r="D8" s="4">
        <f>F8*33%</f>
        <v>7425</v>
      </c>
      <c r="E8" s="4">
        <f>F8-D8-C8</f>
        <v>4950</v>
      </c>
      <c r="F8" s="5">
        <v>22500</v>
      </c>
    </row>
    <row r="9" spans="1:7" ht="15" x14ac:dyDescent="0.2">
      <c r="A9" s="2"/>
      <c r="B9" s="4" t="s">
        <v>9</v>
      </c>
      <c r="C9" s="4">
        <f>F9*45%</f>
        <v>11250</v>
      </c>
      <c r="D9" s="4">
        <f>F9*33%</f>
        <v>8250</v>
      </c>
      <c r="E9" s="4">
        <f>F9-D9-C9</f>
        <v>5500</v>
      </c>
      <c r="F9" s="5">
        <v>25000</v>
      </c>
    </row>
    <row r="10" spans="1:7" ht="15" x14ac:dyDescent="0.2">
      <c r="A10" s="2"/>
      <c r="B10" s="4" t="s">
        <v>10</v>
      </c>
      <c r="C10" s="1">
        <v>148866</v>
      </c>
      <c r="D10" s="1">
        <v>107435</v>
      </c>
      <c r="E10" s="1">
        <v>68699</v>
      </c>
      <c r="F10" s="5">
        <f>C10+D10+E10</f>
        <v>325000</v>
      </c>
      <c r="G10" s="1">
        <v>325</v>
      </c>
    </row>
    <row r="11" spans="1:7" ht="15" x14ac:dyDescent="0.2">
      <c r="A11" s="2"/>
      <c r="B11" s="4" t="s">
        <v>0</v>
      </c>
      <c r="C11" s="8">
        <f>SUM(C5:C10)</f>
        <v>1086465.8</v>
      </c>
      <c r="D11" s="8">
        <f>SUM(D5:D10)</f>
        <v>784812.2</v>
      </c>
      <c r="E11" s="8">
        <f>SUM(E5:E10)</f>
        <v>193722</v>
      </c>
      <c r="F11" s="8">
        <f>SUM(F5:F10)</f>
        <v>2065000</v>
      </c>
    </row>
    <row r="12" spans="1:7" ht="15" x14ac:dyDescent="0.2">
      <c r="A12" s="2"/>
      <c r="B12" s="4" t="s">
        <v>11</v>
      </c>
      <c r="C12" s="16">
        <f>C11*1000/C$3*100</f>
        <v>82.872247078831052</v>
      </c>
      <c r="D12" s="16">
        <f>D11*1000/D$3*100</f>
        <v>77.346126228419692</v>
      </c>
      <c r="E12" s="16">
        <f>E11*1000/E$3*100</f>
        <v>58.520205312087491</v>
      </c>
      <c r="F12" s="5"/>
    </row>
    <row r="13" spans="1:7" ht="20.25" x14ac:dyDescent="0.55000000000000004">
      <c r="A13" s="2"/>
      <c r="B13" s="6" t="s">
        <v>12</v>
      </c>
      <c r="C13" s="4"/>
      <c r="D13" s="4"/>
      <c r="E13" s="4"/>
      <c r="F13" s="5"/>
    </row>
    <row r="14" spans="1:7" ht="15" x14ac:dyDescent="0.2">
      <c r="A14" s="2"/>
      <c r="B14" s="4" t="s">
        <v>13</v>
      </c>
      <c r="C14" s="4">
        <f>130000*568464/997291</f>
        <v>74101.059770919426</v>
      </c>
      <c r="D14" s="4">
        <f>130000*410000/997291</f>
        <v>53444.781914205581</v>
      </c>
      <c r="E14" s="5">
        <f>F14-D14-C14</f>
        <v>2454.1583148749924</v>
      </c>
      <c r="F14" s="5">
        <v>130000</v>
      </c>
    </row>
    <row r="15" spans="1:7" ht="15" x14ac:dyDescent="0.2">
      <c r="A15" s="2"/>
      <c r="B15" s="4" t="s">
        <v>4</v>
      </c>
      <c r="C15" s="4">
        <v>22660</v>
      </c>
      <c r="D15" s="4">
        <v>16479</v>
      </c>
      <c r="E15" s="5">
        <v>10861</v>
      </c>
      <c r="F15" s="5">
        <f>C15+D15+E15</f>
        <v>50000</v>
      </c>
    </row>
    <row r="16" spans="1:7" ht="15" x14ac:dyDescent="0.2">
      <c r="A16" s="2"/>
      <c r="B16" s="4" t="s">
        <v>14</v>
      </c>
      <c r="C16" s="4">
        <v>18188</v>
      </c>
      <c r="D16" s="4">
        <f>13123-1</f>
        <v>13122</v>
      </c>
      <c r="E16" s="4">
        <v>8690</v>
      </c>
      <c r="F16" s="5">
        <f>C16+D16+E16</f>
        <v>40000</v>
      </c>
    </row>
    <row r="17" spans="1:13" ht="15" x14ac:dyDescent="0.2">
      <c r="A17" s="2"/>
      <c r="B17" s="4" t="s">
        <v>0</v>
      </c>
      <c r="C17" s="8">
        <f>SUM(C14:C16)</f>
        <v>114949.05977091943</v>
      </c>
      <c r="D17" s="8">
        <f>SUM(D14:D16)</f>
        <v>83045.781914205581</v>
      </c>
      <c r="E17" s="8">
        <f>SUM(E14:E16)</f>
        <v>22005.158314874992</v>
      </c>
      <c r="F17" s="8">
        <f>SUM(F14:F16)</f>
        <v>220000</v>
      </c>
    </row>
    <row r="18" spans="1:13" ht="15" x14ac:dyDescent="0.2">
      <c r="A18" s="2"/>
      <c r="B18" s="4" t="s">
        <v>11</v>
      </c>
      <c r="C18" s="2">
        <f>C17*1000/C$3*100</f>
        <v>8.7679583497381621</v>
      </c>
      <c r="D18" s="2">
        <f>D17*1000/D$3*100</f>
        <v>8.1844669727024595</v>
      </c>
      <c r="E18" s="2">
        <f>E17*1000/E$3*100</f>
        <v>6.6473935975855794</v>
      </c>
      <c r="F18" s="5"/>
    </row>
    <row r="19" spans="1:13" ht="15" x14ac:dyDescent="0.2">
      <c r="A19" s="2"/>
      <c r="B19" s="4"/>
      <c r="C19" s="2"/>
      <c r="D19" s="2"/>
      <c r="E19" s="2"/>
      <c r="F19" s="5"/>
    </row>
    <row r="20" spans="1:13" ht="15" x14ac:dyDescent="0.2">
      <c r="A20" s="2"/>
      <c r="B20" s="4" t="s">
        <v>18</v>
      </c>
      <c r="C20" s="2">
        <f>C11+C17</f>
        <v>1201414.8597709194</v>
      </c>
      <c r="D20" s="2">
        <f>D11+D17</f>
        <v>867857.98191420548</v>
      </c>
      <c r="E20" s="2">
        <f>E11+E17</f>
        <v>215727.15831487498</v>
      </c>
      <c r="F20" s="2">
        <f>F11+F17</f>
        <v>2285000</v>
      </c>
    </row>
    <row r="21" spans="1:13" ht="15" x14ac:dyDescent="0.2">
      <c r="A21" s="2"/>
      <c r="B21" s="4" t="s">
        <v>19</v>
      </c>
      <c r="C21" s="18">
        <f>C12+C18</f>
        <v>91.640205428569217</v>
      </c>
      <c r="D21" s="18">
        <f>D12+D18</f>
        <v>85.530593201122144</v>
      </c>
      <c r="E21" s="18">
        <f>E12+E18</f>
        <v>65.167598909673075</v>
      </c>
      <c r="F21" s="5"/>
    </row>
    <row r="22" spans="1:13" ht="15" x14ac:dyDescent="0.2">
      <c r="A22" s="2"/>
      <c r="B22" s="4" t="s">
        <v>15</v>
      </c>
      <c r="C22" s="15">
        <v>84</v>
      </c>
      <c r="D22" s="15">
        <v>77.5</v>
      </c>
      <c r="E22" s="15">
        <v>60</v>
      </c>
      <c r="F22" s="5"/>
    </row>
    <row r="23" spans="1:13" ht="15" x14ac:dyDescent="0.2">
      <c r="A23" s="2"/>
      <c r="B23" s="4"/>
      <c r="C23" s="15"/>
      <c r="D23" s="15"/>
      <c r="E23" s="15"/>
      <c r="F23" s="5"/>
    </row>
    <row r="24" spans="1:13" ht="15" x14ac:dyDescent="0.2">
      <c r="A24" s="2"/>
      <c r="B24" s="4" t="s">
        <v>28</v>
      </c>
      <c r="C24" s="17">
        <f>C21/C22-1</f>
        <v>9.0954826530585953E-2</v>
      </c>
      <c r="D24" s="17">
        <f>D21/D22-1</f>
        <v>0.10362055743383403</v>
      </c>
      <c r="E24" s="17">
        <f>E21/E22-1</f>
        <v>8.6126648494551317E-2</v>
      </c>
      <c r="F24" s="5"/>
    </row>
    <row r="25" spans="1:13" x14ac:dyDescent="0.2">
      <c r="A25"/>
    </row>
    <row r="26" spans="1:13" x14ac:dyDescent="0.2">
      <c r="A26"/>
      <c r="C26" s="1">
        <f>C29*C27</f>
        <v>42849.760000000002</v>
      </c>
      <c r="D26" s="1">
        <f>D29*D27</f>
        <v>31035.840000000004</v>
      </c>
      <c r="E26" s="1">
        <f>E29*E27</f>
        <v>20114.400000000001</v>
      </c>
      <c r="F26" s="1">
        <f>E26+D26+C26</f>
        <v>94000</v>
      </c>
      <c r="M26"/>
    </row>
    <row r="27" spans="1:13" x14ac:dyDescent="0.2">
      <c r="A27"/>
      <c r="B27" s="1" t="s">
        <v>30</v>
      </c>
      <c r="C27" s="19">
        <v>0.2</v>
      </c>
      <c r="D27" s="19">
        <f>C27</f>
        <v>0.2</v>
      </c>
      <c r="E27" s="19">
        <f>D27</f>
        <v>0.2</v>
      </c>
      <c r="F27" s="1">
        <f>E27+D27+C27</f>
        <v>0.60000000000000009</v>
      </c>
      <c r="M27"/>
    </row>
    <row r="28" spans="1:13" x14ac:dyDescent="0.2">
      <c r="A28"/>
      <c r="B28" s="1" t="s">
        <v>29</v>
      </c>
      <c r="C28" s="19">
        <f>C5/$F$5</f>
        <v>0.45802640776699027</v>
      </c>
      <c r="D28" s="19">
        <f>D5/$F$5</f>
        <v>0.33014834951456312</v>
      </c>
      <c r="E28" s="19">
        <f>E5/$F$5</f>
        <v>0.2118252427184466</v>
      </c>
      <c r="M28"/>
    </row>
    <row r="29" spans="1:13" x14ac:dyDescent="0.2">
      <c r="A29"/>
      <c r="C29" s="1">
        <f>C5+C7+C8+C9</f>
        <v>214248.8</v>
      </c>
      <c r="D29" s="1">
        <f>D5+D7+D8+D9</f>
        <v>155179.20000000001</v>
      </c>
      <c r="E29" s="1">
        <f>E5+E7+E8+E9</f>
        <v>100572</v>
      </c>
      <c r="F29" s="1">
        <f>E29+D29+C29</f>
        <v>470000</v>
      </c>
      <c r="M29"/>
    </row>
    <row r="30" spans="1:13" x14ac:dyDescent="0.2">
      <c r="A30"/>
      <c r="H30" s="1">
        <v>148866</v>
      </c>
      <c r="I30" s="1">
        <v>107435</v>
      </c>
      <c r="J30" s="1">
        <v>68699</v>
      </c>
      <c r="K30" s="1">
        <v>325000</v>
      </c>
    </row>
    <row r="31" spans="1:13" x14ac:dyDescent="0.2">
      <c r="A31"/>
    </row>
    <row r="32" spans="1:13" x14ac:dyDescent="0.2">
      <c r="A32"/>
      <c r="C32" s="1">
        <v>53562.200000000004</v>
      </c>
      <c r="D32" s="1">
        <v>38794.800000000003</v>
      </c>
      <c r="E32" s="1">
        <v>25143</v>
      </c>
    </row>
    <row r="33" spans="1:6" x14ac:dyDescent="0.2">
      <c r="A33"/>
    </row>
    <row r="34" spans="1:6" x14ac:dyDescent="0.2">
      <c r="A34"/>
    </row>
    <row r="35" spans="1:6" x14ac:dyDescent="0.2">
      <c r="A35"/>
      <c r="B35"/>
      <c r="C35"/>
      <c r="D35"/>
      <c r="E35"/>
      <c r="F35"/>
    </row>
    <row r="36" spans="1:6" ht="20.25" x14ac:dyDescent="0.55000000000000004">
      <c r="A36"/>
      <c r="B36" s="10" t="s">
        <v>20</v>
      </c>
      <c r="C36" s="9"/>
      <c r="D36" s="9"/>
      <c r="E36" s="9"/>
      <c r="F36" s="9"/>
    </row>
    <row r="37" spans="1:6" ht="15" x14ac:dyDescent="0.2">
      <c r="A37"/>
      <c r="B37" s="63" t="s">
        <v>21</v>
      </c>
      <c r="C37" s="63"/>
      <c r="D37" s="63"/>
      <c r="E37" s="63"/>
      <c r="F37" s="63"/>
    </row>
    <row r="38" spans="1:6" x14ac:dyDescent="0.2">
      <c r="A38"/>
      <c r="B38" s="13" t="s">
        <v>22</v>
      </c>
      <c r="C38" s="13"/>
      <c r="D38" s="13"/>
      <c r="E38" s="13"/>
      <c r="F38" s="13"/>
    </row>
    <row r="39" spans="1:6" x14ac:dyDescent="0.2">
      <c r="A39"/>
      <c r="B39" s="9" t="s">
        <v>23</v>
      </c>
      <c r="C39" s="9"/>
      <c r="D39" s="9"/>
      <c r="E39" s="9"/>
      <c r="F39" s="9"/>
    </row>
    <row r="40" spans="1:6" x14ac:dyDescent="0.2">
      <c r="A40"/>
      <c r="B40" s="9" t="s">
        <v>27</v>
      </c>
      <c r="C40" s="9"/>
      <c r="D40" s="9"/>
      <c r="E40" s="9"/>
      <c r="F40" s="9"/>
    </row>
    <row r="41" spans="1:6" x14ac:dyDescent="0.2">
      <c r="A41"/>
      <c r="B41" s="9"/>
      <c r="C41" s="9"/>
      <c r="D41" s="9"/>
      <c r="E41" s="9"/>
      <c r="F41" s="9"/>
    </row>
    <row r="42" spans="1:6" x14ac:dyDescent="0.2">
      <c r="A42"/>
      <c r="B42" s="11" t="s">
        <v>24</v>
      </c>
      <c r="C42" s="11"/>
      <c r="D42" s="11"/>
      <c r="E42" s="9"/>
      <c r="F42" s="9"/>
    </row>
    <row r="43" spans="1:6" x14ac:dyDescent="0.2">
      <c r="A43"/>
      <c r="B43" s="12" t="s">
        <v>25</v>
      </c>
      <c r="C43"/>
      <c r="D43"/>
      <c r="E43"/>
      <c r="F43"/>
    </row>
    <row r="44" spans="1:6" x14ac:dyDescent="0.2">
      <c r="A44"/>
      <c r="B44" s="14"/>
      <c r="C44" s="14"/>
      <c r="D44" s="1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B60"/>
      <c r="C60"/>
      <c r="D60"/>
      <c r="E60"/>
      <c r="F60"/>
    </row>
    <row r="61" spans="1:6" x14ac:dyDescent="0.2">
      <c r="B61"/>
      <c r="C61"/>
      <c r="D61"/>
      <c r="E61"/>
      <c r="F61"/>
    </row>
    <row r="62" spans="1:6" x14ac:dyDescent="0.2">
      <c r="B62"/>
      <c r="C62"/>
      <c r="D62"/>
      <c r="E62"/>
      <c r="F62"/>
    </row>
    <row r="63" spans="1:6" x14ac:dyDescent="0.2">
      <c r="B63"/>
      <c r="C63"/>
      <c r="D63"/>
      <c r="E63"/>
      <c r="F63"/>
    </row>
    <row r="64" spans="1:6" x14ac:dyDescent="0.2">
      <c r="B64"/>
      <c r="C64"/>
      <c r="D64"/>
      <c r="E64"/>
      <c r="F64"/>
    </row>
    <row r="65" spans="2:6" x14ac:dyDescent="0.2">
      <c r="B65"/>
      <c r="C65"/>
      <c r="D65"/>
      <c r="E65"/>
      <c r="F65"/>
    </row>
    <row r="66" spans="2:6" x14ac:dyDescent="0.2">
      <c r="B66"/>
      <c r="C66"/>
      <c r="D66"/>
      <c r="E66"/>
      <c r="F66"/>
    </row>
    <row r="67" spans="2:6" x14ac:dyDescent="0.2">
      <c r="B67"/>
      <c r="C67"/>
      <c r="D67"/>
      <c r="E67"/>
      <c r="F67"/>
    </row>
    <row r="68" spans="2:6" x14ac:dyDescent="0.2">
      <c r="B68"/>
      <c r="C68"/>
      <c r="D68"/>
      <c r="E68"/>
      <c r="F68"/>
    </row>
    <row r="69" spans="2:6" x14ac:dyDescent="0.2">
      <c r="B69"/>
      <c r="C69"/>
      <c r="D69"/>
      <c r="E69"/>
      <c r="F69"/>
    </row>
    <row r="70" spans="2:6" x14ac:dyDescent="0.2">
      <c r="B70"/>
      <c r="C70"/>
      <c r="D70"/>
      <c r="E70"/>
      <c r="F70"/>
    </row>
    <row r="71" spans="2:6" x14ac:dyDescent="0.2">
      <c r="B71"/>
      <c r="C71"/>
      <c r="D71"/>
      <c r="E71"/>
      <c r="F71"/>
    </row>
    <row r="72" spans="2:6" x14ac:dyDescent="0.2">
      <c r="B72"/>
      <c r="C72"/>
      <c r="D72"/>
      <c r="E72"/>
      <c r="F72"/>
    </row>
    <row r="73" spans="2:6" x14ac:dyDescent="0.2">
      <c r="B73"/>
      <c r="C73"/>
      <c r="D73"/>
      <c r="E73"/>
      <c r="F73"/>
    </row>
    <row r="74" spans="2:6" x14ac:dyDescent="0.2">
      <c r="B74"/>
      <c r="C74"/>
      <c r="D74"/>
      <c r="E74"/>
    </row>
  </sheetData>
  <mergeCells count="1">
    <mergeCell ref="B37:F37"/>
  </mergeCells>
  <hyperlinks>
    <hyperlink ref="B42:D42" r:id="rId1" display="הצעת הסדר בן משה" xr:uid="{00000000-0004-0000-0100-000000000000}"/>
    <hyperlink ref="B43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ED30-7655-4C75-8A53-B81AC8D5E328}">
  <dimension ref="A1:S51"/>
  <sheetViews>
    <sheetView rightToLeft="1" tabSelected="1" zoomScaleNormal="100" workbookViewId="0">
      <selection activeCell="B28" sqref="B28"/>
    </sheetView>
  </sheetViews>
  <sheetFormatPr defaultRowHeight="14.25" x14ac:dyDescent="0.2"/>
  <cols>
    <col min="1" max="1" width="43.375" bestFit="1" customWidth="1"/>
    <col min="2" max="2" width="15.875" bestFit="1" customWidth="1"/>
    <col min="3" max="3" width="4.75" customWidth="1"/>
    <col min="4" max="4" width="15.625" bestFit="1" customWidth="1"/>
    <col min="5" max="5" width="4.75" customWidth="1"/>
    <col min="6" max="6" width="13.875" customWidth="1"/>
    <col min="7" max="7" width="5" customWidth="1"/>
    <col min="8" max="8" width="10.625" bestFit="1" customWidth="1"/>
    <col min="9" max="9" width="9.375" bestFit="1" customWidth="1"/>
    <col min="10" max="10" width="10.25" bestFit="1" customWidth="1"/>
    <col min="11" max="11" width="43.875" bestFit="1" customWidth="1"/>
    <col min="12" max="12" width="11.25" bestFit="1" customWidth="1"/>
    <col min="13" max="14" width="10.625" bestFit="1" customWidth="1"/>
    <col min="15" max="15" width="9.625" bestFit="1" customWidth="1"/>
  </cols>
  <sheetData>
    <row r="1" spans="1:14" ht="15.75" x14ac:dyDescent="0.25">
      <c r="A1" s="25"/>
      <c r="B1" s="25"/>
      <c r="C1" s="25"/>
      <c r="D1" s="25"/>
      <c r="E1" s="25"/>
      <c r="F1" s="25"/>
      <c r="G1" s="25"/>
      <c r="H1" s="65" t="s">
        <v>0</v>
      </c>
      <c r="I1" s="65"/>
      <c r="J1" s="66"/>
    </row>
    <row r="2" spans="1:14" ht="15" x14ac:dyDescent="0.25">
      <c r="A2" s="25"/>
      <c r="B2" s="56" t="s">
        <v>65</v>
      </c>
      <c r="C2" s="54"/>
      <c r="D2" s="56" t="s">
        <v>2</v>
      </c>
      <c r="E2" s="54"/>
      <c r="F2" s="56" t="s">
        <v>1</v>
      </c>
      <c r="G2" s="54"/>
      <c r="H2" s="56" t="s">
        <v>64</v>
      </c>
      <c r="I2" s="55" t="s">
        <v>63</v>
      </c>
      <c r="J2" s="54" t="s">
        <v>62</v>
      </c>
    </row>
    <row r="3" spans="1:14" ht="15" x14ac:dyDescent="0.2">
      <c r="A3" s="25" t="s">
        <v>16</v>
      </c>
      <c r="B3" s="53">
        <v>1311012840</v>
      </c>
      <c r="C3" s="52"/>
      <c r="D3" s="50">
        <v>1014675509</v>
      </c>
      <c r="E3" s="51"/>
      <c r="F3" s="50">
        <v>331034382</v>
      </c>
      <c r="G3" s="49"/>
      <c r="H3" s="38"/>
      <c r="I3" s="37"/>
      <c r="J3" s="24"/>
    </row>
    <row r="4" spans="1:14" x14ac:dyDescent="0.2">
      <c r="A4" s="48" t="s">
        <v>61</v>
      </c>
      <c r="B4" s="42" t="s">
        <v>60</v>
      </c>
      <c r="C4" s="47" t="s">
        <v>59</v>
      </c>
      <c r="D4" s="42" t="s">
        <v>60</v>
      </c>
      <c r="E4" s="47" t="s">
        <v>59</v>
      </c>
      <c r="F4" s="42" t="s">
        <v>60</v>
      </c>
      <c r="G4" s="47" t="s">
        <v>59</v>
      </c>
      <c r="H4" s="38"/>
      <c r="I4" s="37"/>
      <c r="J4" s="24"/>
    </row>
    <row r="5" spans="1:14" x14ac:dyDescent="0.2">
      <c r="A5" s="25" t="s">
        <v>58</v>
      </c>
      <c r="B5" s="40">
        <v>154684</v>
      </c>
      <c r="C5" s="39">
        <f>B5*1000/B$3*100</f>
        <v>11.798816554687596</v>
      </c>
      <c r="D5" s="40">
        <v>111666</v>
      </c>
      <c r="E5" s="39">
        <f>D5*1000/D$3*100</f>
        <v>11.00509463464344</v>
      </c>
      <c r="F5" s="40">
        <v>73650</v>
      </c>
      <c r="G5" s="39">
        <f>F5*1000/F$3*100</f>
        <v>22.248444271870223</v>
      </c>
      <c r="H5" s="45">
        <f>B5+D5+F5</f>
        <v>340000</v>
      </c>
      <c r="I5" s="37"/>
      <c r="J5" s="43">
        <v>340000</v>
      </c>
    </row>
    <row r="6" spans="1:14" x14ac:dyDescent="0.2">
      <c r="A6" s="25" t="s">
        <v>57</v>
      </c>
      <c r="B6" s="40">
        <v>734742</v>
      </c>
      <c r="C6" s="39">
        <f>B6*1000/B$3*100</f>
        <v>56.043844696440956</v>
      </c>
      <c r="D6" s="40">
        <v>530422</v>
      </c>
      <c r="E6" s="39">
        <f>D6*1000/D$3*100</f>
        <v>52.275037220790942</v>
      </c>
      <c r="F6" s="40">
        <v>24836</v>
      </c>
      <c r="G6" s="39">
        <f>F6*1000/F$3*100</f>
        <v>7.5025439502534823</v>
      </c>
      <c r="H6" s="45">
        <f>SUM(B6:F6)</f>
        <v>1290108.3188819173</v>
      </c>
      <c r="I6" s="37"/>
      <c r="J6" s="43">
        <v>1290000</v>
      </c>
    </row>
    <row r="7" spans="1:14" ht="15" thickBot="1" x14ac:dyDescent="0.25">
      <c r="A7" s="25" t="s">
        <v>56</v>
      </c>
      <c r="B7" s="40">
        <f>H7-F7-D7</f>
        <v>5193.4674086305813</v>
      </c>
      <c r="C7" s="39">
        <f>B7*1000/B$3*100</f>
        <v>0.39614161281826821</v>
      </c>
      <c r="D7" s="40">
        <f>$H$7*N35</f>
        <v>3745.2823885383759</v>
      </c>
      <c r="E7" s="39">
        <f>D7*1000/D$3*100</f>
        <v>0.36911134203184714</v>
      </c>
      <c r="F7" s="40">
        <f>$H$7*M35</f>
        <v>9061.2502028310428</v>
      </c>
      <c r="G7" s="39">
        <f>F7*1000/F$3*100</f>
        <v>2.7372534985900776</v>
      </c>
      <c r="H7" s="45">
        <v>18000</v>
      </c>
      <c r="I7" s="37"/>
      <c r="J7" s="43">
        <v>18000</v>
      </c>
    </row>
    <row r="8" spans="1:14" ht="15" thickBot="1" x14ac:dyDescent="0.25">
      <c r="A8" s="25" t="s">
        <v>55</v>
      </c>
      <c r="B8" s="40">
        <f>H8-F8-D8</f>
        <v>127482.29999999999</v>
      </c>
      <c r="C8" s="39">
        <f>B8*1000/B$3*100</f>
        <v>9.7239551063435794</v>
      </c>
      <c r="D8" s="40">
        <f>102225*$I8/100</f>
        <v>92002.5</v>
      </c>
      <c r="E8" s="39">
        <f>D8*1000/D$3*100</f>
        <v>9.0671844529559849</v>
      </c>
      <c r="F8" s="40">
        <f>(38427+27701)*$I8/100</f>
        <v>59515.199999999997</v>
      </c>
      <c r="G8" s="39">
        <f>F8*1000/F$3*100</f>
        <v>17.978555472222819</v>
      </c>
      <c r="H8" s="45">
        <f>J8*$I8/100</f>
        <v>279000</v>
      </c>
      <c r="I8" s="44">
        <v>90</v>
      </c>
      <c r="J8" s="43">
        <v>310000</v>
      </c>
    </row>
    <row r="9" spans="1:14" x14ac:dyDescent="0.2">
      <c r="A9" s="42" t="s">
        <v>54</v>
      </c>
      <c r="B9" s="35">
        <f t="shared" ref="B9:G9" si="0">SUM(B5:B8)</f>
        <v>1022101.7674086306</v>
      </c>
      <c r="C9" s="32">
        <f t="shared" si="0"/>
        <v>77.962757970290397</v>
      </c>
      <c r="D9" s="35">
        <f t="shared" si="0"/>
        <v>737835.78238853836</v>
      </c>
      <c r="E9" s="32">
        <f t="shared" si="0"/>
        <v>72.716427650422219</v>
      </c>
      <c r="F9" s="35">
        <f t="shared" si="0"/>
        <v>167062.45020283104</v>
      </c>
      <c r="G9" s="32">
        <f t="shared" si="0"/>
        <v>50.466797192936596</v>
      </c>
      <c r="H9" s="34">
        <f>SUM(B9:F9)</f>
        <v>1927150.6791856207</v>
      </c>
      <c r="I9" s="33"/>
      <c r="J9" s="41">
        <f>SUM(F9:I9)</f>
        <v>2094263.5961856446</v>
      </c>
    </row>
    <row r="10" spans="1:14" x14ac:dyDescent="0.2">
      <c r="A10" s="46" t="s">
        <v>53</v>
      </c>
      <c r="B10" s="40"/>
      <c r="C10" s="39"/>
      <c r="D10" s="40"/>
      <c r="E10" s="39"/>
      <c r="F10" s="40"/>
      <c r="G10" s="39"/>
      <c r="H10" s="45"/>
      <c r="I10" s="37"/>
      <c r="J10" s="43">
        <f>SUM(F10:I10)</f>
        <v>0</v>
      </c>
    </row>
    <row r="11" spans="1:14" ht="15" thickBot="1" x14ac:dyDescent="0.25">
      <c r="A11" s="37" t="s">
        <v>52</v>
      </c>
      <c r="B11" s="40">
        <v>74932</v>
      </c>
      <c r="C11" s="39">
        <f>B11*1000/B$3*100</f>
        <v>5.7155809396954496</v>
      </c>
      <c r="D11" s="40">
        <v>54491</v>
      </c>
      <c r="E11" s="39">
        <f>D11*1000/D$3*100</f>
        <v>5.3702882859272796</v>
      </c>
      <c r="F11" s="40">
        <v>35577</v>
      </c>
      <c r="G11" s="39">
        <f>F11*1000/F$3*100</f>
        <v>10.747222021185703</v>
      </c>
      <c r="H11" s="45">
        <f>B11+D11+F11</f>
        <v>165000</v>
      </c>
      <c r="I11" s="37"/>
      <c r="J11" s="43">
        <v>165000</v>
      </c>
    </row>
    <row r="12" spans="1:14" ht="15" thickBot="1" x14ac:dyDescent="0.25">
      <c r="A12" s="37" t="s">
        <v>51</v>
      </c>
      <c r="B12" s="40">
        <f>H12-F12-D12</f>
        <v>32677.599999999999</v>
      </c>
      <c r="C12" s="39">
        <f>B12*1000/B$3*100</f>
        <v>2.4925461447044257</v>
      </c>
      <c r="D12" s="40">
        <f>(16479+13123)*$I12/100</f>
        <v>23681.599999999999</v>
      </c>
      <c r="E12" s="39">
        <f>D12*1000/D$3*100</f>
        <v>2.3339087018409548</v>
      </c>
      <c r="F12" s="40">
        <f>(10861+8690)*$I12/100</f>
        <v>15640.8</v>
      </c>
      <c r="G12" s="39">
        <f>F12*1000/F$3*100</f>
        <v>4.724826438119047</v>
      </c>
      <c r="H12" s="45">
        <f>J12*$I12/100</f>
        <v>72000</v>
      </c>
      <c r="I12" s="44">
        <v>80</v>
      </c>
      <c r="J12" s="43">
        <v>90000</v>
      </c>
    </row>
    <row r="13" spans="1:14" ht="15" thickBot="1" x14ac:dyDescent="0.25">
      <c r="A13" s="37" t="s">
        <v>50</v>
      </c>
      <c r="B13" s="40">
        <f>H13-F13-D13</f>
        <v>7251.1999999999989</v>
      </c>
      <c r="C13" s="39">
        <f>B13*1000/B$3*100</f>
        <v>0.55309908330112156</v>
      </c>
      <c r="D13" s="40">
        <f>($H$13*32.96%)</f>
        <v>5273.6</v>
      </c>
      <c r="E13" s="39">
        <f>D13*1000/D$3*100</f>
        <v>0.51973265868980378</v>
      </c>
      <c r="F13" s="40">
        <f>($H$13*21.72%)</f>
        <v>3475.2</v>
      </c>
      <c r="G13" s="39">
        <f>F13*1000/F$3*100</f>
        <v>1.0498003195329724</v>
      </c>
      <c r="H13" s="45">
        <f>J13*I13/100</f>
        <v>16000</v>
      </c>
      <c r="I13" s="44">
        <v>80</v>
      </c>
      <c r="J13" s="43">
        <v>20000</v>
      </c>
    </row>
    <row r="14" spans="1:14" x14ac:dyDescent="0.2">
      <c r="A14" s="37" t="s">
        <v>69</v>
      </c>
      <c r="B14" s="40">
        <f>M44</f>
        <v>74101.059770919426</v>
      </c>
      <c r="C14" s="39">
        <f>B14*1000/B$3*100</f>
        <v>5.652199391954043</v>
      </c>
      <c r="D14" s="40">
        <f>N44</f>
        <v>53464.986648831684</v>
      </c>
      <c r="E14" s="39">
        <f>D14*1000/D$3*100</f>
        <v>5.2691708999188709</v>
      </c>
      <c r="F14" s="40">
        <f>O44</f>
        <v>2433.953580248894</v>
      </c>
      <c r="G14" s="39">
        <f>F14*1000/F$3*100</f>
        <v>0.73525703449404667</v>
      </c>
      <c r="H14" s="40">
        <f>J14</f>
        <v>130000</v>
      </c>
      <c r="I14" s="37"/>
      <c r="J14" s="39">
        <v>130000</v>
      </c>
    </row>
    <row r="15" spans="1:14" x14ac:dyDescent="0.2">
      <c r="A15" s="42" t="s">
        <v>49</v>
      </c>
      <c r="B15" s="35">
        <f t="shared" ref="B15:G15" si="1">SUM(B11:B14)</f>
        <v>188961.85977091943</v>
      </c>
      <c r="C15" s="32">
        <f t="shared" si="1"/>
        <v>14.413425559655039</v>
      </c>
      <c r="D15" s="35">
        <f t="shared" si="1"/>
        <v>136911.1866488317</v>
      </c>
      <c r="E15" s="32">
        <f t="shared" si="1"/>
        <v>13.49310054637691</v>
      </c>
      <c r="F15" s="35">
        <f t="shared" si="1"/>
        <v>57126.953580248897</v>
      </c>
      <c r="G15" s="32">
        <f t="shared" si="1"/>
        <v>17.257105813331769</v>
      </c>
      <c r="H15" s="34">
        <f>SUM(B15:F15)</f>
        <v>383027.90652610606</v>
      </c>
      <c r="I15" s="33"/>
      <c r="J15" s="41">
        <f>SUM(F15:I15)</f>
        <v>440172.11721216829</v>
      </c>
    </row>
    <row r="16" spans="1:14" x14ac:dyDescent="0.2">
      <c r="A16" s="25"/>
      <c r="B16" s="40"/>
      <c r="C16" s="39"/>
      <c r="D16" s="40"/>
      <c r="E16" s="39"/>
      <c r="F16" s="40"/>
      <c r="G16" s="39"/>
      <c r="H16" s="38"/>
      <c r="I16" s="37"/>
      <c r="J16" s="24"/>
      <c r="N16" s="31" t="s">
        <v>48</v>
      </c>
    </row>
    <row r="17" spans="1:19" x14ac:dyDescent="0.2">
      <c r="A17" s="36" t="s">
        <v>47</v>
      </c>
      <c r="B17" s="35">
        <f>B15+B9</f>
        <v>1211063.62717955</v>
      </c>
      <c r="C17" s="32">
        <f>C9+C15</f>
        <v>92.376183529945436</v>
      </c>
      <c r="D17" s="35">
        <f>D15+D9</f>
        <v>874746.96903737006</v>
      </c>
      <c r="E17" s="32">
        <f>E9+E15</f>
        <v>86.209528196799127</v>
      </c>
      <c r="F17" s="35">
        <f>F15+F9</f>
        <v>224189.40378307994</v>
      </c>
      <c r="G17" s="32">
        <f>G9+G15</f>
        <v>67.723903006268358</v>
      </c>
      <c r="H17" s="34">
        <f>H15+H9</f>
        <v>2310178.5857117269</v>
      </c>
      <c r="I17" s="33"/>
      <c r="J17" s="32">
        <f>J15+J9</f>
        <v>2534435.713397813</v>
      </c>
      <c r="N17" s="31" t="s">
        <v>46</v>
      </c>
    </row>
    <row r="18" spans="1:19" x14ac:dyDescent="0.2">
      <c r="A18" s="25"/>
      <c r="B18" s="29"/>
      <c r="C18" s="29"/>
      <c r="D18" s="29"/>
      <c r="E18" s="29"/>
      <c r="F18" s="29"/>
      <c r="G18" s="29"/>
      <c r="H18" s="25"/>
      <c r="I18" s="25"/>
      <c r="J18" s="24"/>
    </row>
    <row r="19" spans="1:19" ht="15" x14ac:dyDescent="0.25">
      <c r="A19" s="25"/>
      <c r="B19" s="25"/>
      <c r="C19" s="25"/>
      <c r="D19" s="25"/>
      <c r="E19" s="25"/>
      <c r="F19" s="25"/>
      <c r="G19" s="29"/>
      <c r="H19" s="25"/>
      <c r="I19" s="25"/>
      <c r="J19" s="24"/>
      <c r="K19" s="23" t="s">
        <v>45</v>
      </c>
      <c r="L19" s="23"/>
      <c r="M19" s="23"/>
      <c r="N19" s="31" t="s">
        <v>44</v>
      </c>
      <c r="O19" s="23"/>
    </row>
    <row r="20" spans="1:19" x14ac:dyDescent="0.2">
      <c r="A20" s="25"/>
      <c r="B20" s="25"/>
      <c r="C20" s="25"/>
      <c r="D20" s="25"/>
      <c r="E20" s="25"/>
      <c r="F20" s="36"/>
      <c r="G20" s="58"/>
      <c r="H20" s="25"/>
      <c r="I20" s="25"/>
      <c r="J20" s="24"/>
      <c r="S20">
        <v>165000</v>
      </c>
    </row>
    <row r="21" spans="1:19" x14ac:dyDescent="0.2">
      <c r="A21" s="25" t="s">
        <v>66</v>
      </c>
      <c r="B21" s="57">
        <f>1-B24/C17</f>
        <v>9.0674708673476934E-2</v>
      </c>
      <c r="C21" s="25"/>
      <c r="D21" s="57">
        <f>1-D24/E17</f>
        <v>8.9427797113096563E-2</v>
      </c>
      <c r="E21" s="25"/>
      <c r="F21" s="59">
        <f>1-F24/G17</f>
        <v>0.16277713653402415</v>
      </c>
      <c r="G21" s="39"/>
      <c r="H21" s="25"/>
      <c r="I21" s="25"/>
      <c r="J21" s="24"/>
    </row>
    <row r="22" spans="1:19" x14ac:dyDescent="0.2">
      <c r="A22" s="25" t="s">
        <v>67</v>
      </c>
      <c r="B22" s="57">
        <f>1-(B24/(C9+C11))</f>
        <v>-3.8440185859827114E-3</v>
      </c>
      <c r="C22" s="25"/>
      <c r="D22" s="57">
        <f>1-(D24/(E9+E11))</f>
        <v>-5.2926295938400258E-3</v>
      </c>
      <c r="E22" s="25"/>
      <c r="F22" s="59">
        <f>1-(F24/(G9+G11))</f>
        <v>7.3741591747677582E-2</v>
      </c>
      <c r="G22" s="39"/>
      <c r="H22" s="25"/>
      <c r="I22" s="25"/>
      <c r="J22" s="24"/>
      <c r="S22">
        <v>21.56</v>
      </c>
    </row>
    <row r="23" spans="1:19" x14ac:dyDescent="0.2">
      <c r="A23" s="25"/>
      <c r="B23" s="25"/>
      <c r="C23" s="25"/>
      <c r="D23" s="25"/>
      <c r="E23" s="25"/>
      <c r="F23" s="38"/>
      <c r="G23" s="39"/>
      <c r="H23" s="25"/>
      <c r="I23" s="25"/>
      <c r="J23" s="24"/>
      <c r="S23">
        <v>33.020000000000003</v>
      </c>
    </row>
    <row r="24" spans="1:19" x14ac:dyDescent="0.2">
      <c r="A24" s="25" t="s">
        <v>70</v>
      </c>
      <c r="B24" s="25">
        <v>84</v>
      </c>
      <c r="C24" s="25"/>
      <c r="D24" s="25">
        <v>78.5</v>
      </c>
      <c r="E24" s="25"/>
      <c r="F24" s="60">
        <v>56.7</v>
      </c>
      <c r="G24" s="24"/>
      <c r="H24" s="25"/>
      <c r="I24" s="25"/>
      <c r="J24" s="24"/>
      <c r="S24">
        <v>45.41</v>
      </c>
    </row>
    <row r="25" spans="1:19" x14ac:dyDescent="0.2">
      <c r="A25" s="25"/>
      <c r="B25" s="25"/>
      <c r="C25" s="25"/>
      <c r="D25" s="25"/>
      <c r="E25" s="25"/>
      <c r="F25" s="61"/>
      <c r="G25" s="62"/>
      <c r="H25" s="25"/>
      <c r="I25" s="25"/>
      <c r="J25" s="24"/>
      <c r="S25">
        <f>S22+S23+S24</f>
        <v>99.99</v>
      </c>
    </row>
    <row r="26" spans="1:19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4"/>
    </row>
    <row r="27" spans="1:19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4"/>
      <c r="S27">
        <f>S22*$S$20/100</f>
        <v>35574</v>
      </c>
    </row>
    <row r="28" spans="1:19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4"/>
      <c r="S28">
        <f>S23*$S$20/100</f>
        <v>54483.000000000007</v>
      </c>
    </row>
    <row r="29" spans="1:19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4"/>
      <c r="S29">
        <f>S24*$S$20/100</f>
        <v>74926.499999999985</v>
      </c>
    </row>
    <row r="30" spans="1:19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4"/>
      <c r="S30" s="28">
        <f>S27+S28+S29</f>
        <v>164983.5</v>
      </c>
    </row>
    <row r="31" spans="1:19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4"/>
      <c r="L31" s="27" t="s">
        <v>35</v>
      </c>
      <c r="M31" s="27" t="s">
        <v>1</v>
      </c>
      <c r="N31" s="27" t="s">
        <v>2</v>
      </c>
      <c r="O31" s="27" t="s">
        <v>3</v>
      </c>
    </row>
    <row r="32" spans="1:19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4"/>
      <c r="L32">
        <f>O32+N32+M32</f>
        <v>51933</v>
      </c>
      <c r="M32">
        <v>26143</v>
      </c>
      <c r="N32">
        <v>10806</v>
      </c>
      <c r="O32">
        <v>14984</v>
      </c>
    </row>
    <row r="33" spans="1:16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4"/>
      <c r="L33">
        <f>O33+N33+M33</f>
        <v>52834</v>
      </c>
      <c r="M33">
        <v>26597</v>
      </c>
      <c r="N33">
        <v>10993</v>
      </c>
      <c r="O33">
        <v>15244</v>
      </c>
    </row>
    <row r="34" spans="1:16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4"/>
      <c r="L34" s="27">
        <f>L32+L33</f>
        <v>104767</v>
      </c>
      <c r="M34" s="27">
        <f>M32+M33</f>
        <v>52740</v>
      </c>
      <c r="N34" s="27">
        <f>N32+N33</f>
        <v>21799</v>
      </c>
      <c r="O34" s="27">
        <f>O32+O33</f>
        <v>30228</v>
      </c>
    </row>
    <row r="35" spans="1:16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4"/>
      <c r="L35" s="26">
        <f>L34/$L$34</f>
        <v>1</v>
      </c>
      <c r="M35" s="26">
        <f>M34/$L$34</f>
        <v>0.50340278904616909</v>
      </c>
      <c r="N35" s="26">
        <f>N34/$L$34</f>
        <v>0.20807124380768754</v>
      </c>
      <c r="O35" s="26">
        <f>O34/$L$34</f>
        <v>0.28852596714614337</v>
      </c>
    </row>
    <row r="36" spans="1:16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4"/>
    </row>
    <row r="37" spans="1:16" ht="15" x14ac:dyDescent="0.25">
      <c r="J37" s="22"/>
      <c r="K37" s="23" t="s">
        <v>68</v>
      </c>
    </row>
    <row r="38" spans="1:16" x14ac:dyDescent="0.2">
      <c r="J38" s="22"/>
    </row>
    <row r="39" spans="1:16" ht="15" x14ac:dyDescent="0.25">
      <c r="J39" s="22"/>
      <c r="M39" s="21" t="s">
        <v>3</v>
      </c>
      <c r="N39" s="21" t="s">
        <v>2</v>
      </c>
      <c r="O39" s="21" t="s">
        <v>36</v>
      </c>
      <c r="P39" s="21" t="s">
        <v>35</v>
      </c>
    </row>
    <row r="40" spans="1:16" x14ac:dyDescent="0.2">
      <c r="L40" t="s">
        <v>34</v>
      </c>
      <c r="M40">
        <v>568464</v>
      </c>
      <c r="N40">
        <v>410155</v>
      </c>
      <c r="O40">
        <v>18672</v>
      </c>
      <c r="P40">
        <f>SUM(M40:O40)</f>
        <v>997291</v>
      </c>
    </row>
    <row r="41" spans="1:16" x14ac:dyDescent="0.2">
      <c r="L41" t="s">
        <v>33</v>
      </c>
      <c r="M41">
        <v>568464</v>
      </c>
      <c r="N41">
        <v>410155</v>
      </c>
      <c r="O41">
        <v>18672</v>
      </c>
      <c r="P41">
        <f>SUM(M41:O41)</f>
        <v>997291</v>
      </c>
    </row>
    <row r="42" spans="1:16" x14ac:dyDescent="0.2">
      <c r="M42">
        <f>M40+M41</f>
        <v>1136928</v>
      </c>
      <c r="N42">
        <f>N40+N41</f>
        <v>820310</v>
      </c>
      <c r="O42">
        <f>O40+O41</f>
        <v>37344</v>
      </c>
      <c r="P42">
        <f>P40+P41</f>
        <v>1994582</v>
      </c>
    </row>
    <row r="43" spans="1:16" x14ac:dyDescent="0.2">
      <c r="L43" t="s">
        <v>32</v>
      </c>
      <c r="M43" s="20">
        <f>M42/$P$42</f>
        <v>0.57000815208399558</v>
      </c>
      <c r="N43" s="20">
        <f>N42/$P$42</f>
        <v>0.41126912806793603</v>
      </c>
      <c r="O43" s="20">
        <f>O42/$P$42</f>
        <v>1.8722719848068416E-2</v>
      </c>
    </row>
    <row r="44" spans="1:16" ht="15" x14ac:dyDescent="0.25">
      <c r="A44" s="30" t="s">
        <v>20</v>
      </c>
      <c r="B44" s="29"/>
      <c r="C44" s="29"/>
      <c r="D44" s="29"/>
      <c r="E44" s="29"/>
      <c r="F44" s="29"/>
      <c r="L44" t="s">
        <v>31</v>
      </c>
      <c r="M44" s="1">
        <f>$P$44*M43</f>
        <v>74101.059770919426</v>
      </c>
      <c r="N44" s="1">
        <f>$P$44*N43</f>
        <v>53464.986648831684</v>
      </c>
      <c r="O44" s="1">
        <f>$P$44*O43</f>
        <v>2433.953580248894</v>
      </c>
      <c r="P44">
        <v>130000</v>
      </c>
    </row>
    <row r="45" spans="1:16" x14ac:dyDescent="0.2">
      <c r="A45" s="64" t="s">
        <v>43</v>
      </c>
      <c r="B45" s="64"/>
      <c r="C45" s="64"/>
      <c r="D45" s="64"/>
      <c r="E45" s="64"/>
      <c r="F45" s="64"/>
    </row>
    <row r="46" spans="1:16" x14ac:dyDescent="0.2">
      <c r="A46" s="64" t="s">
        <v>42</v>
      </c>
      <c r="B46" s="64"/>
      <c r="C46" s="64"/>
      <c r="D46" s="64"/>
      <c r="E46" s="64"/>
      <c r="F46" s="64"/>
    </row>
    <row r="47" spans="1:16" x14ac:dyDescent="0.2">
      <c r="A47" s="64" t="s">
        <v>41</v>
      </c>
      <c r="B47" s="64"/>
      <c r="C47" s="64"/>
      <c r="D47" s="64"/>
      <c r="E47" s="64"/>
      <c r="F47" s="64"/>
    </row>
    <row r="48" spans="1:16" x14ac:dyDescent="0.2">
      <c r="A48" s="64" t="s">
        <v>40</v>
      </c>
      <c r="B48" s="64"/>
      <c r="C48" s="64"/>
      <c r="D48" s="64"/>
      <c r="E48" s="64"/>
      <c r="F48" s="64"/>
    </row>
    <row r="49" spans="1:6" x14ac:dyDescent="0.2">
      <c r="A49" s="64" t="s">
        <v>39</v>
      </c>
      <c r="B49" s="64"/>
      <c r="C49" s="64"/>
      <c r="D49" s="64"/>
      <c r="E49" s="64"/>
      <c r="F49" s="64"/>
    </row>
    <row r="50" spans="1:6" x14ac:dyDescent="0.2">
      <c r="A50" s="64" t="s">
        <v>38</v>
      </c>
      <c r="B50" s="64"/>
      <c r="C50" s="64"/>
      <c r="D50" s="64"/>
      <c r="E50" s="64"/>
      <c r="F50" s="64"/>
    </row>
    <row r="51" spans="1:6" x14ac:dyDescent="0.2">
      <c r="A51" s="64" t="s">
        <v>37</v>
      </c>
      <c r="B51" s="64"/>
      <c r="C51" s="64"/>
      <c r="D51" s="64"/>
      <c r="E51" s="64"/>
      <c r="F51" s="64"/>
    </row>
  </sheetData>
  <mergeCells count="8">
    <mergeCell ref="A49:F49"/>
    <mergeCell ref="A50:F50"/>
    <mergeCell ref="A51:F51"/>
    <mergeCell ref="H1:J1"/>
    <mergeCell ref="A45:F45"/>
    <mergeCell ref="A46:F46"/>
    <mergeCell ref="A47:F47"/>
    <mergeCell ref="A48:F48"/>
  </mergeCells>
  <hyperlinks>
    <hyperlink ref="N16" r:id="rId1" xr:uid="{00000000-0004-0000-0000-000000000000}"/>
    <hyperlink ref="N19" r:id="rId2" xr:uid="{00000000-0004-0000-0000-000001000000}"/>
    <hyperlink ref="N17" r:id="rId3" xr:uid="{00000000-0004-0000-0000-000002000000}"/>
  </hyperlinks>
  <pageMargins left="0.7" right="0.7" top="0.75" bottom="0.75" header="0.3" footer="0.3"/>
  <pageSetup paperSize="9" orientation="portrait" r:id="rId4"/>
  <ignoredErrors>
    <ignoredError sqref="F12:F14 F7:F8 D12:D14 F17:G17 D17:E17 C17 D7:D8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הסדר אפריקה בן משה</vt:lpstr>
      <vt:lpstr>פאסו חוב לא מובטח</vt:lpstr>
      <vt:lpstr>Hayek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2017-06-12T10:35:15Z</dcterms:created>
  <dcterms:modified xsi:type="dcterms:W3CDTF">2018-11-08T09:14:03Z</dcterms:modified>
</cp:coreProperties>
</file>